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92" windowWidth="15480" windowHeight="8796" activeTab="1"/>
  </bookViews>
  <sheets>
    <sheet name="2016" sheetId="17" r:id="rId1"/>
    <sheet name=" 2016 2" sheetId="14" r:id="rId2"/>
    <sheet name="зарплата " sheetId="11" r:id="rId3"/>
    <sheet name="Размер тарифа на 2017 г." sheetId="16" r:id="rId4"/>
    <sheet name="Размер тарифа на 2016 г." sheetId="1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H21" i="11" l="1"/>
  <c r="G15" i="11"/>
  <c r="G12" i="11"/>
  <c r="G11" i="11"/>
  <c r="G10" i="11"/>
  <c r="G9" i="11"/>
  <c r="G8" i="11"/>
  <c r="AA26" i="17" l="1"/>
  <c r="I93" i="14" l="1"/>
  <c r="I92" i="14"/>
  <c r="I91" i="14"/>
  <c r="I90" i="14"/>
  <c r="I89" i="14"/>
  <c r="K30" i="14"/>
  <c r="S30" i="14"/>
  <c r="Q30" i="14"/>
  <c r="O30" i="14"/>
  <c r="M30" i="14"/>
  <c r="I94" i="14" l="1"/>
  <c r="J94" i="14" s="1"/>
  <c r="K62" i="14"/>
  <c r="K61" i="14"/>
  <c r="I38" i="14"/>
  <c r="I88" i="14"/>
  <c r="F110" i="17" l="1"/>
  <c r="G109" i="17"/>
  <c r="G110" i="17" s="1"/>
  <c r="H108" i="17"/>
  <c r="H107" i="17"/>
  <c r="H110" i="17" s="1"/>
  <c r="F105" i="17"/>
  <c r="H104" i="17"/>
  <c r="H99" i="17"/>
  <c r="G98" i="17"/>
  <c r="G105" i="17" s="1"/>
  <c r="H105" i="17" s="1"/>
  <c r="G97" i="17"/>
  <c r="F97" i="17"/>
  <c r="G96" i="17"/>
  <c r="F96" i="17"/>
  <c r="H96" i="17" s="1"/>
  <c r="H86" i="17"/>
  <c r="G83" i="17"/>
  <c r="F83" i="17"/>
  <c r="H83" i="17" s="1"/>
  <c r="H81" i="17"/>
  <c r="F79" i="17"/>
  <c r="G78" i="17"/>
  <c r="H78" i="17" s="1"/>
  <c r="F78" i="17"/>
  <c r="H77" i="17"/>
  <c r="H76" i="17"/>
  <c r="H75" i="17"/>
  <c r="H74" i="17"/>
  <c r="H73" i="17"/>
  <c r="H72" i="17"/>
  <c r="H71" i="17"/>
  <c r="H70" i="17"/>
  <c r="H69" i="17"/>
  <c r="G69" i="17"/>
  <c r="G79" i="17" s="1"/>
  <c r="H68" i="17"/>
  <c r="H67" i="17"/>
  <c r="H66" i="17"/>
  <c r="H79" i="17" s="1"/>
  <c r="Z63" i="17"/>
  <c r="Y63" i="17"/>
  <c r="X63" i="17"/>
  <c r="W63" i="17"/>
  <c r="V63" i="17"/>
  <c r="U63" i="17"/>
  <c r="T63" i="17"/>
  <c r="S63" i="17"/>
  <c r="AB61" i="17"/>
  <c r="Y61" i="17"/>
  <c r="Z61" i="17" s="1"/>
  <c r="W61" i="17"/>
  <c r="X61" i="17" s="1"/>
  <c r="U61" i="17"/>
  <c r="V61" i="17" s="1"/>
  <c r="S61" i="17"/>
  <c r="T61" i="17" s="1"/>
  <c r="R61" i="17"/>
  <c r="O61" i="17"/>
  <c r="N61" i="17"/>
  <c r="I60" i="17"/>
  <c r="H60" i="17"/>
  <c r="G60" i="17"/>
  <c r="G62" i="17" s="1"/>
  <c r="F60" i="17"/>
  <c r="F62" i="17" s="1"/>
  <c r="C60" i="17"/>
  <c r="C62" i="17" s="1"/>
  <c r="AB59" i="17"/>
  <c r="Y59" i="17"/>
  <c r="Z59" i="17" s="1"/>
  <c r="W59" i="17"/>
  <c r="X59" i="17" s="1"/>
  <c r="U59" i="17"/>
  <c r="V59" i="17" s="1"/>
  <c r="S59" i="17"/>
  <c r="T59" i="17" s="1"/>
  <c r="R59" i="17"/>
  <c r="N59" i="17"/>
  <c r="O59" i="17" s="1"/>
  <c r="Y58" i="17"/>
  <c r="Z58" i="17" s="1"/>
  <c r="W58" i="17"/>
  <c r="X58" i="17" s="1"/>
  <c r="U58" i="17"/>
  <c r="V58" i="17" s="1"/>
  <c r="S58" i="17"/>
  <c r="T58" i="17" s="1"/>
  <c r="R58" i="17"/>
  <c r="N58" i="17"/>
  <c r="O58" i="17" s="1"/>
  <c r="Y57" i="17"/>
  <c r="Z57" i="17" s="1"/>
  <c r="W57" i="17"/>
  <c r="X57" i="17" s="1"/>
  <c r="U57" i="17"/>
  <c r="V57" i="17" s="1"/>
  <c r="S57" i="17"/>
  <c r="T57" i="17" s="1"/>
  <c r="R57" i="17"/>
  <c r="N57" i="17"/>
  <c r="O57" i="17" s="1"/>
  <c r="AA56" i="17"/>
  <c r="Q56" i="17"/>
  <c r="J56" i="17"/>
  <c r="D56" i="17"/>
  <c r="D60" i="17" s="1"/>
  <c r="D62" i="17" s="1"/>
  <c r="D64" i="17" s="1"/>
  <c r="C56" i="17"/>
  <c r="AB55" i="17"/>
  <c r="Y55" i="17"/>
  <c r="Z55" i="17" s="1"/>
  <c r="W55" i="17"/>
  <c r="X55" i="17" s="1"/>
  <c r="U55" i="17"/>
  <c r="V55" i="17" s="1"/>
  <c r="S55" i="17"/>
  <c r="T55" i="17" s="1"/>
  <c r="R55" i="17"/>
  <c r="N55" i="17"/>
  <c r="O55" i="17" s="1"/>
  <c r="E55" i="17"/>
  <c r="AB54" i="17"/>
  <c r="Y54" i="17"/>
  <c r="Z54" i="17" s="1"/>
  <c r="W54" i="17"/>
  <c r="X54" i="17" s="1"/>
  <c r="U54" i="17"/>
  <c r="V54" i="17" s="1"/>
  <c r="S54" i="17"/>
  <c r="T54" i="17" s="1"/>
  <c r="R54" i="17"/>
  <c r="N54" i="17"/>
  <c r="O54" i="17" s="1"/>
  <c r="AB53" i="17"/>
  <c r="Y53" i="17"/>
  <c r="Z53" i="17" s="1"/>
  <c r="W53" i="17"/>
  <c r="X53" i="17" s="1"/>
  <c r="U53" i="17"/>
  <c r="V53" i="17" s="1"/>
  <c r="T53" i="17"/>
  <c r="R53" i="17"/>
  <c r="N53" i="17"/>
  <c r="O53" i="17" s="1"/>
  <c r="AB52" i="17"/>
  <c r="Y52" i="17"/>
  <c r="Z52" i="17" s="1"/>
  <c r="W52" i="17"/>
  <c r="X52" i="17" s="1"/>
  <c r="U52" i="17"/>
  <c r="V52" i="17" s="1"/>
  <c r="S52" i="17"/>
  <c r="T52" i="17" s="1"/>
  <c r="R52" i="17"/>
  <c r="N52" i="17"/>
  <c r="O52" i="17" s="1"/>
  <c r="AB51" i="17"/>
  <c r="Y51" i="17"/>
  <c r="Z51" i="17" s="1"/>
  <c r="W51" i="17"/>
  <c r="X51" i="17" s="1"/>
  <c r="U51" i="17"/>
  <c r="V51" i="17" s="1"/>
  <c r="S51" i="17"/>
  <c r="T51" i="17" s="1"/>
  <c r="R51" i="17"/>
  <c r="N51" i="17"/>
  <c r="O51" i="17" s="1"/>
  <c r="Y50" i="17"/>
  <c r="W50" i="17"/>
  <c r="V50" i="17"/>
  <c r="U50" i="17"/>
  <c r="U56" i="17" s="1"/>
  <c r="S50" i="17"/>
  <c r="K50" i="17"/>
  <c r="K56" i="17" s="1"/>
  <c r="G50" i="17"/>
  <c r="I50" i="17" s="1"/>
  <c r="F50" i="17"/>
  <c r="E50" i="17" s="1"/>
  <c r="E56" i="17" s="1"/>
  <c r="Y49" i="17"/>
  <c r="Z49" i="17" s="1"/>
  <c r="X49" i="17"/>
  <c r="W49" i="17"/>
  <c r="U49" i="17"/>
  <c r="V49" i="17" s="1"/>
  <c r="T49" i="17"/>
  <c r="S49" i="17"/>
  <c r="AA47" i="17"/>
  <c r="Q47" i="17"/>
  <c r="N47" i="17"/>
  <c r="J47" i="17"/>
  <c r="O47" i="17" s="1"/>
  <c r="AB46" i="17"/>
  <c r="Y46" i="17"/>
  <c r="Z46" i="17" s="1"/>
  <c r="W46" i="17"/>
  <c r="X46" i="17" s="1"/>
  <c r="U46" i="17"/>
  <c r="V46" i="17" s="1"/>
  <c r="S46" i="17"/>
  <c r="T46" i="17" s="1"/>
  <c r="R46" i="17"/>
  <c r="O46" i="17"/>
  <c r="N46" i="17"/>
  <c r="AB45" i="17"/>
  <c r="Z45" i="17"/>
  <c r="Y45" i="17"/>
  <c r="W45" i="17"/>
  <c r="X45" i="17" s="1"/>
  <c r="U45" i="17"/>
  <c r="V45" i="17" s="1"/>
  <c r="S45" i="17"/>
  <c r="T45" i="17" s="1"/>
  <c r="R45" i="17"/>
  <c r="N45" i="17"/>
  <c r="O45" i="17" s="1"/>
  <c r="AB44" i="17"/>
  <c r="Y44" i="17"/>
  <c r="Z44" i="17" s="1"/>
  <c r="W44" i="17"/>
  <c r="X44" i="17" s="1"/>
  <c r="U44" i="17"/>
  <c r="V44" i="17" s="1"/>
  <c r="S44" i="17"/>
  <c r="T44" i="17" s="1"/>
  <c r="R44" i="17"/>
  <c r="N44" i="17"/>
  <c r="O44" i="17" s="1"/>
  <c r="AB43" i="17"/>
  <c r="Y43" i="17"/>
  <c r="Z43" i="17" s="1"/>
  <c r="W43" i="17"/>
  <c r="X43" i="17" s="1"/>
  <c r="U43" i="17"/>
  <c r="V43" i="17" s="1"/>
  <c r="S43" i="17"/>
  <c r="T43" i="17" s="1"/>
  <c r="R43" i="17"/>
  <c r="N43" i="17"/>
  <c r="O43" i="17" s="1"/>
  <c r="AB42" i="17"/>
  <c r="Y42" i="17"/>
  <c r="Z42" i="17" s="1"/>
  <c r="W42" i="17"/>
  <c r="X42" i="17" s="1"/>
  <c r="U42" i="17"/>
  <c r="V42" i="17" s="1"/>
  <c r="S42" i="17"/>
  <c r="T42" i="17" s="1"/>
  <c r="R42" i="17"/>
  <c r="O42" i="17"/>
  <c r="N42" i="17"/>
  <c r="AB41" i="17"/>
  <c r="Y41" i="17"/>
  <c r="Z41" i="17" s="1"/>
  <c r="W41" i="17"/>
  <c r="X41" i="17" s="1"/>
  <c r="U41" i="17"/>
  <c r="V41" i="17" s="1"/>
  <c r="S41" i="17"/>
  <c r="T41" i="17" s="1"/>
  <c r="R41" i="17"/>
  <c r="AB40" i="17"/>
  <c r="Y40" i="17"/>
  <c r="Z40" i="17" s="1"/>
  <c r="W40" i="17"/>
  <c r="X40" i="17" s="1"/>
  <c r="U40" i="17"/>
  <c r="V40" i="17" s="1"/>
  <c r="S40" i="17"/>
  <c r="T40" i="17" s="1"/>
  <c r="R40" i="17"/>
  <c r="F40" i="17"/>
  <c r="AB39" i="17"/>
  <c r="Y39" i="17"/>
  <c r="Z39" i="17" s="1"/>
  <c r="W39" i="17"/>
  <c r="X39" i="17" s="1"/>
  <c r="U39" i="17"/>
  <c r="V39" i="17" s="1"/>
  <c r="S39" i="17"/>
  <c r="T39" i="17" s="1"/>
  <c r="R39" i="17"/>
  <c r="AB38" i="17"/>
  <c r="Y38" i="17"/>
  <c r="Z38" i="17" s="1"/>
  <c r="W38" i="17"/>
  <c r="X38" i="17" s="1"/>
  <c r="U38" i="17"/>
  <c r="V38" i="17" s="1"/>
  <c r="S38" i="17"/>
  <c r="T38" i="17" s="1"/>
  <c r="R38" i="17"/>
  <c r="M38" i="17"/>
  <c r="AB37" i="17"/>
  <c r="Y37" i="17"/>
  <c r="Z37" i="17" s="1"/>
  <c r="W37" i="17"/>
  <c r="X37" i="17" s="1"/>
  <c r="U37" i="17"/>
  <c r="V37" i="17" s="1"/>
  <c r="S37" i="17"/>
  <c r="T37" i="17" s="1"/>
  <c r="R37" i="17"/>
  <c r="F37" i="17"/>
  <c r="AB36" i="17"/>
  <c r="Y36" i="17"/>
  <c r="Z36" i="17" s="1"/>
  <c r="W36" i="17"/>
  <c r="X36" i="17" s="1"/>
  <c r="U36" i="17"/>
  <c r="V36" i="17" s="1"/>
  <c r="S36" i="17"/>
  <c r="T36" i="17" s="1"/>
  <c r="R36" i="17"/>
  <c r="AB35" i="17"/>
  <c r="Y35" i="17"/>
  <c r="Z35" i="17" s="1"/>
  <c r="W35" i="17"/>
  <c r="X35" i="17" s="1"/>
  <c r="U35" i="17"/>
  <c r="V35" i="17" s="1"/>
  <c r="S35" i="17"/>
  <c r="T35" i="17" s="1"/>
  <c r="R35" i="17"/>
  <c r="AB34" i="17"/>
  <c r="Y34" i="17"/>
  <c r="Z34" i="17" s="1"/>
  <c r="W34" i="17"/>
  <c r="X34" i="17" s="1"/>
  <c r="U34" i="17"/>
  <c r="V34" i="17" s="1"/>
  <c r="S34" i="17"/>
  <c r="T34" i="17" s="1"/>
  <c r="R34" i="17"/>
  <c r="N34" i="17"/>
  <c r="O34" i="17" s="1"/>
  <c r="AB33" i="17"/>
  <c r="Y33" i="17"/>
  <c r="Z33" i="17" s="1"/>
  <c r="W33" i="17"/>
  <c r="X33" i="17" s="1"/>
  <c r="U33" i="17"/>
  <c r="V33" i="17" s="1"/>
  <c r="S33" i="17"/>
  <c r="T33" i="17" s="1"/>
  <c r="R33" i="17"/>
  <c r="N33" i="17"/>
  <c r="O33" i="17" s="1"/>
  <c r="AB32" i="17"/>
  <c r="Y32" i="17"/>
  <c r="W32" i="17"/>
  <c r="X32" i="17" s="1"/>
  <c r="U32" i="17"/>
  <c r="S32" i="17"/>
  <c r="T32" i="17" s="1"/>
  <c r="R32" i="17"/>
  <c r="O32" i="17"/>
  <c r="N32" i="17"/>
  <c r="AB31" i="17"/>
  <c r="N31" i="17"/>
  <c r="G31" i="17"/>
  <c r="F31" i="17"/>
  <c r="AB30" i="17"/>
  <c r="Y30" i="17"/>
  <c r="Z30" i="17" s="1"/>
  <c r="W30" i="17"/>
  <c r="X30" i="17" s="1"/>
  <c r="U30" i="17"/>
  <c r="V30" i="17" s="1"/>
  <c r="S30" i="17"/>
  <c r="T30" i="17" s="1"/>
  <c r="R30" i="17"/>
  <c r="O30" i="17"/>
  <c r="N30" i="17"/>
  <c r="K30" i="17"/>
  <c r="I30" i="17"/>
  <c r="H30" i="17"/>
  <c r="E30" i="17"/>
  <c r="AA29" i="17"/>
  <c r="Q29" i="17"/>
  <c r="J29" i="17"/>
  <c r="J60" i="17" s="1"/>
  <c r="J62" i="17" s="1"/>
  <c r="AB28" i="17"/>
  <c r="Y28" i="17"/>
  <c r="Z28" i="17" s="1"/>
  <c r="W28" i="17"/>
  <c r="X28" i="17" s="1"/>
  <c r="U28" i="17"/>
  <c r="V28" i="17" s="1"/>
  <c r="S28" i="17"/>
  <c r="T28" i="17" s="1"/>
  <c r="R28" i="17"/>
  <c r="AB27" i="17"/>
  <c r="Y27" i="17"/>
  <c r="Z27" i="17" s="1"/>
  <c r="W27" i="17"/>
  <c r="X27" i="17" s="1"/>
  <c r="U27" i="17"/>
  <c r="V27" i="17" s="1"/>
  <c r="S27" i="17"/>
  <c r="T27" i="17" s="1"/>
  <c r="R27" i="17"/>
  <c r="AB26" i="17"/>
  <c r="Y26" i="17"/>
  <c r="Z26" i="17" s="1"/>
  <c r="W26" i="17"/>
  <c r="X26" i="17" s="1"/>
  <c r="U26" i="17"/>
  <c r="V26" i="17" s="1"/>
  <c r="S26" i="17"/>
  <c r="T26" i="17" s="1"/>
  <c r="R26" i="17"/>
  <c r="F26" i="17"/>
  <c r="AB25" i="17"/>
  <c r="Y25" i="17"/>
  <c r="Z25" i="17" s="1"/>
  <c r="W25" i="17"/>
  <c r="X25" i="17" s="1"/>
  <c r="U25" i="17"/>
  <c r="V25" i="17" s="1"/>
  <c r="S25" i="17"/>
  <c r="T25" i="17" s="1"/>
  <c r="R25" i="17"/>
  <c r="F25" i="17"/>
  <c r="AB24" i="17"/>
  <c r="Y24" i="17"/>
  <c r="Z24" i="17" s="1"/>
  <c r="W24" i="17"/>
  <c r="X24" i="17" s="1"/>
  <c r="U24" i="17"/>
  <c r="V24" i="17" s="1"/>
  <c r="S24" i="17"/>
  <c r="T24" i="17" s="1"/>
  <c r="R24" i="17"/>
  <c r="Z23" i="17"/>
  <c r="Y23" i="17"/>
  <c r="W23" i="17"/>
  <c r="U23" i="17"/>
  <c r="S23" i="17"/>
  <c r="AB22" i="17"/>
  <c r="G22" i="17"/>
  <c r="I22" i="17" s="1"/>
  <c r="AA21" i="17"/>
  <c r="Q21" i="17"/>
  <c r="N21" i="17"/>
  <c r="O21" i="17" s="1"/>
  <c r="AB20" i="17"/>
  <c r="Y20" i="17"/>
  <c r="Z20" i="17" s="1"/>
  <c r="W20" i="17"/>
  <c r="X20" i="17" s="1"/>
  <c r="U20" i="17"/>
  <c r="V20" i="17" s="1"/>
  <c r="S20" i="17"/>
  <c r="T20" i="17" s="1"/>
  <c r="R20" i="17"/>
  <c r="N20" i="17"/>
  <c r="O20" i="17" s="1"/>
  <c r="Y19" i="17"/>
  <c r="Z19" i="17" s="1"/>
  <c r="W19" i="17"/>
  <c r="X19" i="17" s="1"/>
  <c r="U19" i="17"/>
  <c r="V19" i="17" s="1"/>
  <c r="S19" i="17"/>
  <c r="T19" i="17" s="1"/>
  <c r="R19" i="17"/>
  <c r="O19" i="17"/>
  <c r="N19" i="17"/>
  <c r="AB18" i="17"/>
  <c r="Y18" i="17"/>
  <c r="Z18" i="17" s="1"/>
  <c r="W18" i="17"/>
  <c r="X18" i="17" s="1"/>
  <c r="U18" i="17"/>
  <c r="V18" i="17" s="1"/>
  <c r="S18" i="17"/>
  <c r="T18" i="17" s="1"/>
  <c r="R18" i="17"/>
  <c r="O18" i="17"/>
  <c r="N18" i="17"/>
  <c r="AB17" i="17"/>
  <c r="Y17" i="17"/>
  <c r="Z17" i="17" s="1"/>
  <c r="W17" i="17"/>
  <c r="X17" i="17" s="1"/>
  <c r="U17" i="17"/>
  <c r="V17" i="17" s="1"/>
  <c r="S17" i="17"/>
  <c r="T17" i="17" s="1"/>
  <c r="R17" i="17"/>
  <c r="N17" i="17"/>
  <c r="O17" i="17" s="1"/>
  <c r="AB16" i="17"/>
  <c r="Y16" i="17"/>
  <c r="Z16" i="17" s="1"/>
  <c r="W16" i="17"/>
  <c r="X16" i="17" s="1"/>
  <c r="U16" i="17"/>
  <c r="V16" i="17" s="1"/>
  <c r="S16" i="17"/>
  <c r="T16" i="17" s="1"/>
  <c r="R16" i="17"/>
  <c r="N16" i="17"/>
  <c r="O16" i="17" s="1"/>
  <c r="Y15" i="17"/>
  <c r="Z15" i="17" s="1"/>
  <c r="W15" i="17"/>
  <c r="X15" i="17" s="1"/>
  <c r="U15" i="17"/>
  <c r="V15" i="17" s="1"/>
  <c r="S15" i="17"/>
  <c r="T15" i="17" s="1"/>
  <c r="R15" i="17"/>
  <c r="O15" i="17"/>
  <c r="N15" i="17"/>
  <c r="Y14" i="17"/>
  <c r="Z14" i="17" s="1"/>
  <c r="W14" i="17"/>
  <c r="X14" i="17" s="1"/>
  <c r="U14" i="17"/>
  <c r="V14" i="17" s="1"/>
  <c r="S14" i="17"/>
  <c r="T14" i="17" s="1"/>
  <c r="R14" i="17"/>
  <c r="O14" i="17"/>
  <c r="N14" i="17"/>
  <c r="AB13" i="17"/>
  <c r="Y13" i="17"/>
  <c r="Z13" i="17" s="1"/>
  <c r="W13" i="17"/>
  <c r="X13" i="17" s="1"/>
  <c r="U13" i="17"/>
  <c r="V13" i="17" s="1"/>
  <c r="S13" i="17"/>
  <c r="T13" i="17" s="1"/>
  <c r="R13" i="17"/>
  <c r="O13" i="17"/>
  <c r="N13" i="17"/>
  <c r="C13" i="17"/>
  <c r="AB12" i="17"/>
  <c r="Y12" i="17"/>
  <c r="Z12" i="17" s="1"/>
  <c r="W12" i="17"/>
  <c r="X12" i="17" s="1"/>
  <c r="U12" i="17"/>
  <c r="V12" i="17" s="1"/>
  <c r="S12" i="17"/>
  <c r="T12" i="17" s="1"/>
  <c r="R12" i="17"/>
  <c r="N12" i="17"/>
  <c r="O12" i="17" s="1"/>
  <c r="AB11" i="17"/>
  <c r="Y11" i="17"/>
  <c r="Z11" i="17" s="1"/>
  <c r="X11" i="17"/>
  <c r="W11" i="17"/>
  <c r="U11" i="17"/>
  <c r="V11" i="17" s="1"/>
  <c r="T11" i="17"/>
  <c r="S11" i="17"/>
  <c r="R11" i="17"/>
  <c r="N11" i="17"/>
  <c r="O11" i="17" s="1"/>
  <c r="M11" i="17"/>
  <c r="F7" i="17"/>
  <c r="E59" i="17" s="1"/>
  <c r="AB3" i="17"/>
  <c r="AB57" i="17" s="1"/>
  <c r="K3" i="17"/>
  <c r="AB29" i="17" l="1"/>
  <c r="F22" i="17"/>
  <c r="E22" i="17" s="1"/>
  <c r="AB56" i="17"/>
  <c r="Q60" i="17"/>
  <c r="Q62" i="17" s="1"/>
  <c r="Q64" i="17" s="1"/>
  <c r="R56" i="17"/>
  <c r="Y56" i="17"/>
  <c r="Z50" i="17"/>
  <c r="Z56" i="17" s="1"/>
  <c r="R47" i="17"/>
  <c r="R60" i="17" s="1"/>
  <c r="R62" i="17" s="1"/>
  <c r="R64" i="17" s="1"/>
  <c r="Z29" i="17"/>
  <c r="R29" i="17"/>
  <c r="U29" i="17"/>
  <c r="W21" i="17"/>
  <c r="X21" i="17" s="1"/>
  <c r="R21" i="17"/>
  <c r="Y21" i="17"/>
  <c r="Z21" i="17" s="1"/>
  <c r="S21" i="17"/>
  <c r="T21" i="17" s="1"/>
  <c r="U21" i="17"/>
  <c r="V21" i="17" s="1"/>
  <c r="Y47" i="17"/>
  <c r="Z32" i="17"/>
  <c r="Z47" i="17" s="1"/>
  <c r="E11" i="17"/>
  <c r="AB21" i="17"/>
  <c r="K12" i="17"/>
  <c r="I13" i="17"/>
  <c r="K16" i="17"/>
  <c r="K17" i="17"/>
  <c r="AA60" i="17"/>
  <c r="AA62" i="17" s="1"/>
  <c r="AA64" i="17" s="1"/>
  <c r="V23" i="17"/>
  <c r="V29" i="17" s="1"/>
  <c r="N25" i="17"/>
  <c r="T47" i="17"/>
  <c r="AB47" i="17"/>
  <c r="K38" i="17"/>
  <c r="I57" i="17"/>
  <c r="I61" i="17"/>
  <c r="I62" i="17" s="1"/>
  <c r="K59" i="17"/>
  <c r="I58" i="17"/>
  <c r="H57" i="17"/>
  <c r="K43" i="17"/>
  <c r="K33" i="17"/>
  <c r="I63" i="17"/>
  <c r="H61" i="17"/>
  <c r="H62" i="17" s="1"/>
  <c r="I59" i="17"/>
  <c r="E58" i="17"/>
  <c r="E57" i="17"/>
  <c r="E60" i="17" s="1"/>
  <c r="K46" i="17"/>
  <c r="K42" i="17"/>
  <c r="N35" i="17"/>
  <c r="K32" i="17"/>
  <c r="K47" i="17" s="1"/>
  <c r="N26" i="17"/>
  <c r="H20" i="17"/>
  <c r="E61" i="17"/>
  <c r="H59" i="17"/>
  <c r="K57" i="17"/>
  <c r="K45" i="17"/>
  <c r="N40" i="17"/>
  <c r="N37" i="17"/>
  <c r="K35" i="17"/>
  <c r="K61" i="17"/>
  <c r="H13" i="17"/>
  <c r="K20" i="17"/>
  <c r="K25" i="17"/>
  <c r="K37" i="17"/>
  <c r="K40" i="17"/>
  <c r="E12" i="17"/>
  <c r="I15" i="17"/>
  <c r="E16" i="17"/>
  <c r="E17" i="17"/>
  <c r="H18" i="17"/>
  <c r="E20" i="17"/>
  <c r="X23" i="17"/>
  <c r="X29" i="17" s="1"/>
  <c r="W29" i="17"/>
  <c r="E31" i="17"/>
  <c r="U47" i="17"/>
  <c r="V32" i="17"/>
  <c r="V47" i="17" s="1"/>
  <c r="N38" i="17"/>
  <c r="K44" i="17"/>
  <c r="V56" i="17"/>
  <c r="S56" i="17"/>
  <c r="K58" i="17"/>
  <c r="K11" i="17"/>
  <c r="I12" i="17"/>
  <c r="I16" i="17"/>
  <c r="I17" i="17"/>
  <c r="K18" i="17"/>
  <c r="H22" i="17"/>
  <c r="H11" i="17"/>
  <c r="K13" i="17"/>
  <c r="I11" i="17"/>
  <c r="H12" i="17"/>
  <c r="E13" i="17"/>
  <c r="H16" i="17"/>
  <c r="H17" i="17"/>
  <c r="I18" i="17"/>
  <c r="I20" i="17"/>
  <c r="T23" i="17"/>
  <c r="T29" i="17" s="1"/>
  <c r="S29" i="17"/>
  <c r="Y29" i="17"/>
  <c r="Y60" i="17" s="1"/>
  <c r="Y62" i="17" s="1"/>
  <c r="Y64" i="17" s="1"/>
  <c r="K26" i="17"/>
  <c r="I31" i="17"/>
  <c r="X47" i="17"/>
  <c r="K34" i="17"/>
  <c r="F56" i="17"/>
  <c r="W56" i="17"/>
  <c r="H97" i="17"/>
  <c r="S47" i="17"/>
  <c r="W47" i="17"/>
  <c r="G56" i="17"/>
  <c r="H31" i="17"/>
  <c r="H50" i="17"/>
  <c r="T50" i="17"/>
  <c r="X50" i="17"/>
  <c r="H98" i="17"/>
  <c r="I105" i="17" s="1"/>
  <c r="D39" i="16"/>
  <c r="E39" i="16" s="1"/>
  <c r="Z60" i="17" l="1"/>
  <c r="Z62" i="17" s="1"/>
  <c r="Z64" i="17" s="1"/>
  <c r="U60" i="17"/>
  <c r="U62" i="17" s="1"/>
  <c r="U64" i="17" s="1"/>
  <c r="V60" i="17"/>
  <c r="V62" i="17" s="1"/>
  <c r="V64" i="17" s="1"/>
  <c r="W60" i="17"/>
  <c r="W62" i="17" s="1"/>
  <c r="W64" i="17" s="1"/>
  <c r="S62" i="17"/>
  <c r="S64" i="17" s="1"/>
  <c r="E62" i="17"/>
  <c r="E64" i="17" s="1"/>
  <c r="X56" i="17"/>
  <c r="X60" i="17" s="1"/>
  <c r="X62" i="17" s="1"/>
  <c r="X64" i="17" s="1"/>
  <c r="S60" i="17"/>
  <c r="K60" i="17"/>
  <c r="K62" i="17" s="1"/>
  <c r="K64" i="17" s="1"/>
  <c r="K29" i="17"/>
  <c r="AB60" i="17"/>
  <c r="AB62" i="17" s="1"/>
  <c r="AB64" i="17" s="1"/>
  <c r="I56" i="17"/>
  <c r="I64" i="17" s="1"/>
  <c r="H56" i="17"/>
  <c r="H64" i="17" s="1"/>
  <c r="T56" i="17"/>
  <c r="T60" i="17" s="1"/>
  <c r="J21" i="11"/>
  <c r="I12" i="11"/>
  <c r="I11" i="11"/>
  <c r="I10" i="11"/>
  <c r="I9" i="11"/>
  <c r="T62" i="17" l="1"/>
  <c r="T64" i="17" s="1"/>
  <c r="D39" i="15"/>
  <c r="E39" i="15" s="1"/>
  <c r="F11" i="11" l="1"/>
  <c r="H11" i="11" l="1"/>
  <c r="J11" i="11" s="1"/>
  <c r="H80" i="14" l="1"/>
  <c r="K27" i="14" l="1"/>
  <c r="L27" i="14"/>
  <c r="I37" i="14" l="1"/>
  <c r="H99" i="14" l="1"/>
  <c r="G99" i="14"/>
  <c r="I98" i="14"/>
  <c r="I97" i="14"/>
  <c r="I96" i="14"/>
  <c r="G73" i="14"/>
  <c r="I72" i="14"/>
  <c r="I71" i="14"/>
  <c r="J70" i="14"/>
  <c r="I69" i="14"/>
  <c r="I66" i="14"/>
  <c r="H65" i="14"/>
  <c r="H73" i="14" s="1"/>
  <c r="I64" i="14"/>
  <c r="H58" i="14"/>
  <c r="G58" i="14"/>
  <c r="I57" i="14"/>
  <c r="S56" i="14"/>
  <c r="Q56" i="14"/>
  <c r="O56" i="14"/>
  <c r="M56" i="14"/>
  <c r="L56" i="14"/>
  <c r="H56" i="14"/>
  <c r="G56" i="14"/>
  <c r="T55" i="14"/>
  <c r="R55" i="14"/>
  <c r="P55" i="14"/>
  <c r="N55" i="14"/>
  <c r="T54" i="14"/>
  <c r="R54" i="14"/>
  <c r="P54" i="14"/>
  <c r="N54" i="14"/>
  <c r="T53" i="14"/>
  <c r="R53" i="14"/>
  <c r="P53" i="14"/>
  <c r="N53" i="14"/>
  <c r="T52" i="14"/>
  <c r="R52" i="14"/>
  <c r="P52" i="14"/>
  <c r="N52" i="14"/>
  <c r="T51" i="14"/>
  <c r="R51" i="14"/>
  <c r="P51" i="14"/>
  <c r="N51" i="14"/>
  <c r="T48" i="14"/>
  <c r="T56" i="14" s="1"/>
  <c r="S58" i="14" s="1"/>
  <c r="R48" i="14"/>
  <c r="R56" i="14" s="1"/>
  <c r="Q58" i="14" s="1"/>
  <c r="P48" i="14"/>
  <c r="P56" i="14" s="1"/>
  <c r="N48" i="14"/>
  <c r="N56" i="14" s="1"/>
  <c r="M58" i="14" s="1"/>
  <c r="K47" i="14"/>
  <c r="K56" i="14" s="1"/>
  <c r="K45" i="14"/>
  <c r="I45" i="14"/>
  <c r="K44" i="14"/>
  <c r="K46" i="14" s="1"/>
  <c r="I44" i="14"/>
  <c r="I34" i="14"/>
  <c r="I36" i="14" s="1"/>
  <c r="L22" i="14"/>
  <c r="L19" i="14"/>
  <c r="L18" i="14" s="1"/>
  <c r="T18" i="14"/>
  <c r="R18" i="14"/>
  <c r="P18" i="14"/>
  <c r="N18" i="14"/>
  <c r="K18" i="14"/>
  <c r="S16" i="14"/>
  <c r="Q16" i="14"/>
  <c r="L15" i="14"/>
  <c r="K14" i="14"/>
  <c r="Q13" i="14"/>
  <c r="M13" i="14"/>
  <c r="M16" i="14" s="1"/>
  <c r="O11" i="14"/>
  <c r="O13" i="14" s="1"/>
  <c r="O16" i="14" s="1"/>
  <c r="M11" i="14"/>
  <c r="L11" i="14"/>
  <c r="O58" i="14" l="1"/>
  <c r="S26" i="14"/>
  <c r="S28" i="14" s="1"/>
  <c r="I46" i="14"/>
  <c r="I58" i="14"/>
  <c r="I56" i="14"/>
  <c r="I65" i="14"/>
  <c r="Q26" i="14"/>
  <c r="Q28" i="14" s="1"/>
  <c r="I73" i="14"/>
  <c r="I74" i="14" s="1"/>
  <c r="I80" i="14" s="1"/>
  <c r="J80" i="14" s="1"/>
  <c r="J87" i="14" s="1"/>
  <c r="I101" i="14"/>
  <c r="M17" i="14"/>
  <c r="U33" i="14" s="1"/>
  <c r="M26" i="14"/>
  <c r="O26" i="14"/>
  <c r="O28" i="14" s="1"/>
  <c r="K58" i="14"/>
  <c r="K59" i="14" s="1"/>
  <c r="I60" i="14" s="1"/>
  <c r="K60" i="14" s="1"/>
  <c r="U18" i="14"/>
  <c r="I99" i="14"/>
  <c r="K26" i="14" l="1"/>
  <c r="M28" i="14"/>
  <c r="K28" i="14" s="1"/>
  <c r="F15" i="11"/>
  <c r="I15" i="11" s="1"/>
  <c r="G21" i="11"/>
  <c r="D13" i="11"/>
  <c r="F12" i="11"/>
  <c r="F10" i="11"/>
  <c r="F9" i="11"/>
  <c r="H9" i="11" s="1"/>
  <c r="F8" i="11"/>
  <c r="I8" i="11" s="1"/>
  <c r="I21" i="11" l="1"/>
  <c r="K21" i="11" s="1"/>
  <c r="K22" i="11" s="1"/>
  <c r="H10" i="11"/>
  <c r="J10" i="11" s="1"/>
  <c r="H8" i="11"/>
  <c r="H15" i="11"/>
  <c r="J15" i="11" s="1"/>
  <c r="J9" i="11"/>
  <c r="F13" i="11"/>
  <c r="G13" i="11" l="1"/>
  <c r="H12" i="11"/>
  <c r="J8" i="11"/>
  <c r="I13" i="11" l="1"/>
  <c r="H13" i="11"/>
  <c r="J12" i="11" l="1"/>
  <c r="J13" i="11" s="1"/>
  <c r="J24" i="11" s="1"/>
</calcChain>
</file>

<file path=xl/sharedStrings.xml><?xml version="1.0" encoding="utf-8"?>
<sst xmlns="http://schemas.openxmlformats.org/spreadsheetml/2006/main" count="407" uniqueCount="286">
  <si>
    <t>Размер тарифа</t>
  </si>
  <si>
    <t>по содержанию жилья и текущему ремонту многоквартирного жилого дома</t>
  </si>
  <si>
    <t>Общая площадь дома , м2</t>
  </si>
  <si>
    <t>Общая площадь офисных помещений, м2</t>
  </si>
  <si>
    <t>Всего</t>
  </si>
  <si>
    <t>№ п.п.</t>
  </si>
  <si>
    <t>Наименование затрат</t>
  </si>
  <si>
    <t>Сумма в тарифе, руб. на 1 кв.м.</t>
  </si>
  <si>
    <t>Бюджет</t>
  </si>
  <si>
    <t>2010г. План</t>
  </si>
  <si>
    <t>2010г. Факт</t>
  </si>
  <si>
    <t>2011 г.</t>
  </si>
  <si>
    <t>Раздел 1</t>
  </si>
  <si>
    <t>Расходы на содержание и техническое обслуживание дома</t>
  </si>
  <si>
    <t>Промывка мусорокамеры и мусоросборника</t>
  </si>
  <si>
    <t>в том числе:</t>
  </si>
  <si>
    <t>Услуги паспортного стола</t>
  </si>
  <si>
    <t>Раздел 2</t>
  </si>
  <si>
    <t>Расходы по эксплуатации лифтового хозяйства</t>
  </si>
  <si>
    <t>Раздел 3</t>
  </si>
  <si>
    <t>Расходы на образование резерва на текущий ремонт общедомовых инженерных коммуникаций, в т.ч. текущий ремонт конструктивных элементов и текущий ремонт внутридомового инженерного оборудования</t>
  </si>
  <si>
    <t>Раздел 4</t>
  </si>
  <si>
    <t>Расходы на образование резерва на капитальный ремонт общедомовых инженерных коммуникаций</t>
  </si>
  <si>
    <t>Раздел 5</t>
  </si>
  <si>
    <t>Раздел 6</t>
  </si>
  <si>
    <t>Всего для жилых помещений:</t>
  </si>
  <si>
    <t xml:space="preserve">Стоимость  теплоэнергии предъявленная  поставщиком всего </t>
  </si>
  <si>
    <t xml:space="preserve">Стоимость  водоснабжения(водоотведения) предъявленная  всего </t>
  </si>
  <si>
    <t>Итого ТО и содержание жилья (разделы  с 1-5)</t>
  </si>
  <si>
    <t>Раздел 7</t>
  </si>
  <si>
    <t>ТО теплообменников</t>
  </si>
  <si>
    <t>Раздел 8</t>
  </si>
  <si>
    <t>Раздел 10</t>
  </si>
  <si>
    <t>Раздел 9</t>
  </si>
  <si>
    <t>Предъявленные  ресурсы</t>
  </si>
  <si>
    <t>Раздел 11</t>
  </si>
  <si>
    <t>Итого по разделу 8</t>
  </si>
  <si>
    <t>Помывка витражей</t>
  </si>
  <si>
    <t>Стоимость работ</t>
  </si>
  <si>
    <t>Исполнение</t>
  </si>
  <si>
    <t>Остаток</t>
  </si>
  <si>
    <t>Общедомовой расход</t>
  </si>
  <si>
    <t xml:space="preserve">Предъявлено жильцам </t>
  </si>
  <si>
    <t>Получено от поставщиков</t>
  </si>
  <si>
    <t>2010 г.</t>
  </si>
  <si>
    <t>Создано</t>
  </si>
  <si>
    <t>Использовано</t>
  </si>
  <si>
    <t>дополнить сведения</t>
  </si>
  <si>
    <t>2010г.</t>
  </si>
  <si>
    <t>2011г.</t>
  </si>
  <si>
    <t>Итого по разделу 11</t>
  </si>
  <si>
    <t>Начислено</t>
  </si>
  <si>
    <t>2012 г.</t>
  </si>
  <si>
    <t>Факт</t>
  </si>
  <si>
    <t>2011 г. План</t>
  </si>
  <si>
    <t>Использо-вано</t>
  </si>
  <si>
    <t>Разовые платежи (37,48 руб./м2)</t>
  </si>
  <si>
    <t>План на</t>
  </si>
  <si>
    <t>Факт 2011 на 1м2</t>
  </si>
  <si>
    <t>Содержание территории  для  размещения транспорта (по всему жилому комплексу в целом)</t>
  </si>
  <si>
    <t>2010 год: 63600-разметка  27000-расчистка снега   экономия-2126,9</t>
  </si>
  <si>
    <t>Д</t>
  </si>
  <si>
    <t>Г</t>
  </si>
  <si>
    <t>Б</t>
  </si>
  <si>
    <t>восстановление резерва</t>
  </si>
  <si>
    <t>восстановление резерва 2010 г.</t>
  </si>
  <si>
    <t>Итого по разделу 9</t>
  </si>
  <si>
    <t>Итого по разделу 7</t>
  </si>
  <si>
    <t>В</t>
  </si>
  <si>
    <t>S-</t>
  </si>
  <si>
    <t xml:space="preserve">Факт </t>
  </si>
  <si>
    <t>ул. Космонавта Беляева, дом 40Д,Г,Б,В</t>
  </si>
  <si>
    <t>факт</t>
  </si>
  <si>
    <t>Замена  стекол</t>
  </si>
  <si>
    <t>месяц.</t>
  </si>
  <si>
    <t>месяцев</t>
  </si>
  <si>
    <t>ДОМ Д</t>
  </si>
  <si>
    <t>ДОМ Г</t>
  </si>
  <si>
    <t>ДОМ Б</t>
  </si>
  <si>
    <t xml:space="preserve">Знаки на тер. </t>
  </si>
  <si>
    <t>ДОМ В</t>
  </si>
  <si>
    <t>оборуд для   администр.</t>
  </si>
  <si>
    <t>урны на придом. Тер.</t>
  </si>
  <si>
    <t>информац.стенд  дом Б-В</t>
  </si>
  <si>
    <t>Итого  расходы  за 2012 г.</t>
  </si>
  <si>
    <t>Оборудование  установленно на прид.тер. ИП Нарицин</t>
  </si>
  <si>
    <t>Химич.очистка систем отопления</t>
  </si>
  <si>
    <t>Установка дверей ООО "Термодом"</t>
  </si>
  <si>
    <t>Итого по разделу  7  за 2012</t>
  </si>
  <si>
    <t>поливочные  матер. Для придомовой тер.</t>
  </si>
  <si>
    <t>Установка КП для  контроля  админ ИП Воробьев .</t>
  </si>
  <si>
    <t xml:space="preserve">Песок </t>
  </si>
  <si>
    <t xml:space="preserve">Раздел  3 Информация  </t>
  </si>
  <si>
    <t>монтажные работы по калитке  ИП Норкин</t>
  </si>
  <si>
    <t xml:space="preserve"> калитки , огражд.ИП Норкин.</t>
  </si>
  <si>
    <t>Ремонт оборудования(видиообор.)</t>
  </si>
  <si>
    <t xml:space="preserve">текщий ремонт </t>
  </si>
  <si>
    <t>2012 г. в том числе:</t>
  </si>
  <si>
    <t>Итого расходов по эксплуатации лифтового хозяйства 2 раздел</t>
  </si>
  <si>
    <t>Разовый платеж</t>
  </si>
  <si>
    <t>Итого  2011 г.</t>
  </si>
  <si>
    <t>Проведение праздников(по решению собрания)</t>
  </si>
  <si>
    <t xml:space="preserve">Раздел 7(= разд.3) Информация  </t>
  </si>
  <si>
    <t>Итого 2010 г.</t>
  </si>
  <si>
    <t>востановл резерва</t>
  </si>
  <si>
    <t>Итого 2011</t>
  </si>
  <si>
    <t>Итого  на 2011 г.</t>
  </si>
  <si>
    <t>ИТОГО</t>
  </si>
  <si>
    <t>Расходы текущего периода:</t>
  </si>
  <si>
    <t>Для нежилых помещений (в том числе контроль доступа)</t>
  </si>
  <si>
    <t>2013 г.</t>
  </si>
  <si>
    <t>Остаток 2010-2013 г</t>
  </si>
  <si>
    <t>2013 г  Разовый платеж</t>
  </si>
  <si>
    <t>Гл.бухгалтер</t>
  </si>
  <si>
    <t>Ловчева Л.И.</t>
  </si>
  <si>
    <t>Услуги банка</t>
  </si>
  <si>
    <t>собрано</t>
  </si>
  <si>
    <t>Стоимость  электроэнергии предъявленная  поставщиком всего</t>
  </si>
  <si>
    <t>начислено</t>
  </si>
  <si>
    <t>использ.</t>
  </si>
  <si>
    <t>2014 г. дом</t>
  </si>
  <si>
    <t>Тариф на 2014</t>
  </si>
  <si>
    <t>Управленческие расходы (в т.ч. ФОТ УК,  услуги банка, связь, прогр.обеспечение)</t>
  </si>
  <si>
    <t>1.2.</t>
  </si>
  <si>
    <t>Витражи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</si>
  <si>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</si>
  <si>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</si>
  <si>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</si>
  <si>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</si>
  <si>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</si>
  <si>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</si>
  <si>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</si>
  <si>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</si>
  <si>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</si>
  <si>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</si>
  <si>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1.2.1</t>
  </si>
  <si>
    <t>1.2.2.</t>
  </si>
  <si>
    <t>1.2.3</t>
  </si>
  <si>
    <t>1.2.4</t>
  </si>
  <si>
    <t>1.2.5</t>
  </si>
  <si>
    <t>1.3.</t>
  </si>
  <si>
    <t>1.3.1.</t>
  </si>
  <si>
    <t>Итого по разделу 7 (2010-2013)</t>
  </si>
  <si>
    <t>ИТОГО за 2014 г , в том числе:</t>
  </si>
  <si>
    <t>Канц.товары</t>
  </si>
  <si>
    <t>Управление (согластно штатного расписания)</t>
  </si>
  <si>
    <t>Должность</t>
  </si>
  <si>
    <t>оклад руб.</t>
  </si>
  <si>
    <t>Итого</t>
  </si>
  <si>
    <t>Итого с УК</t>
  </si>
  <si>
    <t>Директор</t>
  </si>
  <si>
    <t>Зам.директора</t>
  </si>
  <si>
    <t>Главный бухгалтер</t>
  </si>
  <si>
    <t>Юрист</t>
  </si>
  <si>
    <t>Обслуживающий  персонал (согластно штатного расписания)</t>
  </si>
  <si>
    <t>Колич. Ставок</t>
  </si>
  <si>
    <t>Премия</t>
  </si>
  <si>
    <t>Администратор</t>
  </si>
  <si>
    <t>Итого  ФОТ в месяц :</t>
  </si>
  <si>
    <t>ПАСПОРТИСТ</t>
  </si>
  <si>
    <t>Итого по разделу 1.1.</t>
  </si>
  <si>
    <t xml:space="preserve">ИТОГО по разделу 1.2. </t>
  </si>
  <si>
    <t>ИТОГО  по разделу 1.3.</t>
  </si>
  <si>
    <t>1.3.2.</t>
  </si>
  <si>
    <t>1.3.3.</t>
  </si>
  <si>
    <t>1.3.4</t>
  </si>
  <si>
    <t>1.3.5.</t>
  </si>
  <si>
    <t>1.3.6.</t>
  </si>
  <si>
    <t>1.3.7.</t>
  </si>
  <si>
    <t>1.3.8.</t>
  </si>
  <si>
    <t>1.3.9.</t>
  </si>
  <si>
    <t>1.3.10.</t>
  </si>
  <si>
    <t>1.3.12.</t>
  </si>
  <si>
    <t>1.3.13.</t>
  </si>
  <si>
    <t>1.3.14.</t>
  </si>
  <si>
    <t>1.3.11.</t>
  </si>
  <si>
    <t>1.3.15.</t>
  </si>
  <si>
    <t>2.2.</t>
  </si>
  <si>
    <t>2.3.</t>
  </si>
  <si>
    <t>№ п/п</t>
  </si>
  <si>
    <t>Суммы затрат  в  месяц</t>
  </si>
  <si>
    <t>З/платы с налогами</t>
  </si>
  <si>
    <t>Расходы на ремонт оборудов.</t>
  </si>
  <si>
    <t>Вывоз мусора ТБО  и КГМ</t>
  </si>
  <si>
    <t>Связь  и почта</t>
  </si>
  <si>
    <t>Охрана МВД</t>
  </si>
  <si>
    <t>Санитарное обсл.(дератизация)</t>
  </si>
  <si>
    <t>Расходы на  уборку тер. Общ.мест. ИП Хасанова Л.Ю.</t>
  </si>
  <si>
    <t>Тех.обсл.инженерного внутридомового оборудования. ИП Гусев А.В.</t>
  </si>
  <si>
    <t>мат.расходы  на освещение(лампы)</t>
  </si>
  <si>
    <t>Освидетельствование  лифтов</t>
  </si>
  <si>
    <t>Обслуж. Лифтов ООО "Лифт-индустрия"</t>
  </si>
  <si>
    <t>Услуги  ООО "Инкомус"</t>
  </si>
  <si>
    <t>Аренда офиса  ООО "Урал-Транс"</t>
  </si>
  <si>
    <t>Аренда оборудования (видионабл.) ООО "ИнвестСтройМаркет"</t>
  </si>
  <si>
    <t>Поверка и ремонт измирительных приборов</t>
  </si>
  <si>
    <t>Обучение  персонала</t>
  </si>
  <si>
    <t>Услуги   по обслуж. ПК  ИП Воробьев С.А.</t>
  </si>
  <si>
    <t>Обслуж. Програм.обесп.  ООО "Телеком-Консалдинг"</t>
  </si>
  <si>
    <t>Доп.работы  по решению собрания</t>
  </si>
  <si>
    <t>Расходы по озелению</t>
  </si>
  <si>
    <t>Электроснаб.мест общ.пользования</t>
  </si>
  <si>
    <t>Водоснабжение мест общ. Поль.</t>
  </si>
  <si>
    <t xml:space="preserve">Информационные затраты </t>
  </si>
  <si>
    <t>Налог 1 %</t>
  </si>
  <si>
    <t>Обслуж.матер.общей тер.(посыпн.Матр, грунт.)</t>
  </si>
  <si>
    <t>Общая сумма расходов</t>
  </si>
  <si>
    <t>Структура  затрат  на 2015 г.</t>
  </si>
  <si>
    <t>2014 г. Разовый платеж</t>
  </si>
  <si>
    <t>Итого за 2013 г.</t>
  </si>
  <si>
    <t>ИТОГО по разделу 10</t>
  </si>
  <si>
    <t xml:space="preserve">Утвердить    Директор  </t>
  </si>
  <si>
    <t>Гл.бухгалтер:</t>
  </si>
  <si>
    <t xml:space="preserve">Директор  </t>
  </si>
  <si>
    <t>Утверждаю</t>
  </si>
  <si>
    <t>ООО "Управляющая компания "А-ЭЛИТА"</t>
  </si>
  <si>
    <t>Главный бухгалтер:</t>
  </si>
  <si>
    <t>Утверждено</t>
  </si>
  <si>
    <t>Директор ООО "Управляющая компания "А-ЭЛИТА"</t>
  </si>
  <si>
    <t>2015 г.</t>
  </si>
  <si>
    <t>Канц.товары+ почтовые расходы</t>
  </si>
  <si>
    <t>Экспертиза,  эксплуатация, ТО в том числе:</t>
  </si>
  <si>
    <t>2.1</t>
  </si>
  <si>
    <t>2.4.</t>
  </si>
  <si>
    <t>итого 2015 г.</t>
  </si>
  <si>
    <t>ФОТ управления, администратоы</t>
  </si>
  <si>
    <t>Расходы по пожарной  пров.</t>
  </si>
  <si>
    <t>штраф</t>
  </si>
  <si>
    <t>Прочие расходы (по решению собр)</t>
  </si>
  <si>
    <t>уборка снега</t>
  </si>
  <si>
    <t>затраты перерасходы(витражи)</t>
  </si>
  <si>
    <t>остаток 0,99/ остаток разов. Пл.</t>
  </si>
  <si>
    <t>Остаток накопленных средств</t>
  </si>
  <si>
    <t>Инженер по экспл.</t>
  </si>
  <si>
    <t>Итого с налогами</t>
  </si>
  <si>
    <t>Итого + налоги</t>
  </si>
  <si>
    <t>Месячные затраты на  2016 г.</t>
  </si>
  <si>
    <t>Обслуживание системы  "Умный дом" ТО систем пожарной сигнализации ООО "ПСБ"</t>
  </si>
  <si>
    <t>Налоги(30,2 %)</t>
  </si>
  <si>
    <t>Шкурко А.В.</t>
  </si>
  <si>
    <t>Тариф  2016</t>
  </si>
  <si>
    <t>Тариф на 2017 г.</t>
  </si>
  <si>
    <t>Штафы, госпошлины, судебные издержки</t>
  </si>
  <si>
    <t>Получено</t>
  </si>
  <si>
    <t>Итого 2016г.</t>
  </si>
  <si>
    <t>Иттого 2016</t>
  </si>
  <si>
    <t>на 2017 год</t>
  </si>
  <si>
    <t>текущий ремонт</t>
  </si>
  <si>
    <t xml:space="preserve">Убыток 2016 г. </t>
  </si>
  <si>
    <t>Месячные затраты на  2017 г.</t>
  </si>
  <si>
    <t>Техническое обслуживание внутридомового инженерного оборудования(Договор  ИП Гусев Алексей Витальевич)</t>
  </si>
  <si>
    <t>Санитарное содержание дома и придомовой территории (дворники, уборщицы)(Договор ИП Хасанова  Л.Ю.)</t>
  </si>
  <si>
    <t>Санитарное обслуживание жилых зданий, (дератизация).(Договор Пермский  краевой  центр дезинфектологии ГБУЗ ПК)</t>
  </si>
  <si>
    <t>Механизированная уборка снега  (договор  ИП Хисамова Эльвира Рафиковна) за счет средст  собранных  за тер.машиномест</t>
  </si>
  <si>
    <t>Вывоз ТБО и КГМ (Договор ООО "ЭкоГрад")</t>
  </si>
  <si>
    <t>Налоги  1%  УСН</t>
  </si>
  <si>
    <t xml:space="preserve">налоги на ЗП 20,2% при УСН </t>
  </si>
  <si>
    <t>Витражи  (Договор  ИП Пономарев Виталий Степанович)</t>
  </si>
  <si>
    <t>Программное обеспечение (Договор  ООО "Телеком-Консалтинг")</t>
  </si>
  <si>
    <t>Обслуживание ПК (Договор ИП Воробьев Сергей Андреевич)</t>
  </si>
  <si>
    <t xml:space="preserve">Связь(Договор  ПАО Ростелеком) </t>
  </si>
  <si>
    <t xml:space="preserve">Арендные офиса(Договор ООО "Урал-Транс") </t>
  </si>
  <si>
    <t xml:space="preserve">Аренда оборудования(Договор ООО "ИнвестСтройМаркет) </t>
  </si>
  <si>
    <t>Услуги банка(Договор  Западно-Уральский банк ПАО "Збербанк России" г.Пермь)</t>
  </si>
  <si>
    <t xml:space="preserve">охрана  МВД (Договор ФГКУ УВО МВД России по Пермскому краю) </t>
  </si>
  <si>
    <t>Услуги ЖКХ(текущие расходы)Покупка расходного материала сч. 10</t>
  </si>
  <si>
    <t>ремонт  оборудования. Услуга</t>
  </si>
  <si>
    <t>диспетчеризация жилого комплекса (Договор  ООО"Лифт-индустрия")</t>
  </si>
  <si>
    <t>Экспертиза лифтов (обязательная, ежегодная.Аккредитованная компания)</t>
  </si>
  <si>
    <t>Ремонт лифтового хозяйства(устан.кнопки)(Договор  ООО "Лифт-Индустрия"</t>
  </si>
  <si>
    <t>страхование (Договор ООО РЕСО-Гарантия)</t>
  </si>
  <si>
    <t>обучение персонала(Акред. Компания)</t>
  </si>
  <si>
    <t>Расходы на обслуживание инженерных коммуникаций (ТО систем пожарной сигнализации и дымоудаления)(Договор  ООО Технический центр "ПСБ")</t>
  </si>
  <si>
    <t xml:space="preserve">прочие  расходы (Праздники)  </t>
  </si>
  <si>
    <t>Услуги расчетного центра (Договор  ООО"  ИНКОМУС")</t>
  </si>
  <si>
    <t>Электроснабжение мест общего пользования (Договор ОАО " Пермская, Энергосбытовая Компания")</t>
  </si>
  <si>
    <t>Уход за зелеными насаждениями (садовник)</t>
  </si>
  <si>
    <t>ВИТРАЖИ(Договор ИП Пономарев  В.С.)</t>
  </si>
  <si>
    <t>Водоотведение  водоснабжение, отопление  общих территорий. Договор  ООО "Новогор-Прикамье", ООО "ПСК"</t>
  </si>
  <si>
    <t>1% УК</t>
  </si>
  <si>
    <t>Расходы на ремонт.  Услуги.(текущие расходы)</t>
  </si>
  <si>
    <t>Материальные расходы(текущие расходы) сч.10</t>
  </si>
  <si>
    <t>Водоснабжение, теплоснабжение мест общ.поль.</t>
  </si>
  <si>
    <t>Структура  затрат  на 2017 г.</t>
  </si>
  <si>
    <t>общ.расход  воды( с учетом теплоэн.) на общей тер.</t>
  </si>
  <si>
    <t>на начало  года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</si>
</sst>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[$€-1]_-;\-* #,##0.00[$€-1]_-;_-* &quot;-&quot;??[$€-1]_-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9"/>
      <name val="Arial Cyr"/>
      <charset val="204"/>
    </font>
    <font>
      <b/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Arial Cyr"/>
      <charset val="204"/>
    </font>
    <font>
      <b/>
      <i/>
      <u/>
      <sz val="14"/>
      <name val="Arial Cyr"/>
      <charset val="204"/>
    </font>
    <font>
      <b/>
      <u/>
      <sz val="14"/>
      <name val="Arial Cyr"/>
      <charset val="204"/>
    </font>
    <font>
      <b/>
      <i/>
      <sz val="14"/>
      <name val="Arial Cyr"/>
      <charset val="204"/>
    </font>
    <font>
      <b/>
      <sz val="14"/>
      <color theme="5" tint="-0.499984740745262"/>
      <name val="Arial Cyr"/>
      <charset val="204"/>
    </font>
    <font>
      <sz val="14"/>
      <color theme="5" tint="-0.499984740745262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i/>
      <sz val="14"/>
      <color rgb="FFFF0000"/>
      <name val="Arial Cyr"/>
      <charset val="204"/>
    </font>
    <font>
      <b/>
      <u/>
      <sz val="14"/>
      <color rgb="FFFF0000"/>
      <name val="Arial Cyr"/>
      <charset val="204"/>
    </font>
    <font>
      <b/>
      <u/>
      <sz val="14"/>
      <color theme="5" tint="-0.499984740745262"/>
      <name val="Arial Cyr"/>
      <charset val="204"/>
    </font>
    <font>
      <b/>
      <sz val="14"/>
      <color theme="1"/>
      <name val="Arial Cyr"/>
      <charset val="204"/>
    </font>
    <font>
      <sz val="14"/>
      <color theme="1"/>
      <name val="Arial Cyr"/>
      <charset val="204"/>
    </font>
    <font>
      <u/>
      <sz val="14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4">
    <xf numFmtId="0" fontId="0" fillId="0" borderId="0" xfId="0"/>
    <xf numFmtId="0" fontId="2" fillId="0" borderId="0" xfId="0" applyFont="1"/>
    <xf numFmtId="0" fontId="0" fillId="0" borderId="2" xfId="0" applyBorder="1"/>
    <xf numFmtId="2" fontId="0" fillId="0" borderId="2" xfId="0" applyNumberFormat="1" applyBorder="1"/>
    <xf numFmtId="0" fontId="3" fillId="0" borderId="0" xfId="0" applyFont="1"/>
    <xf numFmtId="0" fontId="0" fillId="0" borderId="0" xfId="0" applyFont="1"/>
    <xf numFmtId="2" fontId="2" fillId="0" borderId="10" xfId="0" applyNumberFormat="1" applyFont="1" applyBorder="1"/>
    <xf numFmtId="0" fontId="0" fillId="0" borderId="2" xfId="0" applyBorder="1" applyAlignment="1">
      <alignment wrapText="1"/>
    </xf>
    <xf numFmtId="0" fontId="2" fillId="0" borderId="10" xfId="0" applyFont="1" applyBorder="1" applyAlignment="1">
      <alignment wrapText="1"/>
    </xf>
    <xf numFmtId="2" fontId="2" fillId="0" borderId="7" xfId="0" applyNumberFormat="1" applyFont="1" applyBorder="1"/>
    <xf numFmtId="2" fontId="0" fillId="0" borderId="0" xfId="0" applyNumberFormat="1"/>
    <xf numFmtId="2" fontId="2" fillId="0" borderId="6" xfId="0" applyNumberFormat="1" applyFont="1" applyBorder="1"/>
    <xf numFmtId="0" fontId="2" fillId="0" borderId="10" xfId="0" applyFont="1" applyBorder="1"/>
    <xf numFmtId="2" fontId="2" fillId="0" borderId="17" xfId="0" applyNumberFormat="1" applyFont="1" applyBorder="1"/>
    <xf numFmtId="2" fontId="2" fillId="0" borderId="0" xfId="0" applyNumberFormat="1" applyFont="1"/>
    <xf numFmtId="0" fontId="2" fillId="0" borderId="0" xfId="0" applyFont="1" applyAlignment="1">
      <alignment wrapText="1"/>
    </xf>
    <xf numFmtId="2" fontId="2" fillId="0" borderId="10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2" fontId="2" fillId="0" borderId="0" xfId="0" applyNumberFormat="1" applyFont="1" applyAlignment="1">
      <alignment wrapText="1"/>
    </xf>
    <xf numFmtId="2" fontId="2" fillId="0" borderId="0" xfId="0" applyNumberFormat="1" applyFont="1" applyBorder="1"/>
    <xf numFmtId="0" fontId="2" fillId="0" borderId="0" xfId="0" applyFont="1" applyBorder="1"/>
    <xf numFmtId="0" fontId="2" fillId="3" borderId="6" xfId="0" applyFont="1" applyFill="1" applyBorder="1"/>
    <xf numFmtId="2" fontId="2" fillId="3" borderId="6" xfId="0" applyNumberFormat="1" applyFont="1" applyFill="1" applyBorder="1"/>
    <xf numFmtId="2" fontId="2" fillId="3" borderId="7" xfId="0" applyNumberFormat="1" applyFont="1" applyFill="1" applyBorder="1"/>
    <xf numFmtId="0" fontId="2" fillId="3" borderId="7" xfId="0" applyFont="1" applyFill="1" applyBorder="1"/>
    <xf numFmtId="2" fontId="2" fillId="3" borderId="2" xfId="0" applyNumberFormat="1" applyFont="1" applyFill="1" applyBorder="1"/>
    <xf numFmtId="2" fontId="2" fillId="0" borderId="16" xfId="0" applyNumberFormat="1" applyFont="1" applyBorder="1" applyAlignment="1">
      <alignment wrapText="1"/>
    </xf>
    <xf numFmtId="0" fontId="0" fillId="5" borderId="6" xfId="0" applyFill="1" applyBorder="1" applyAlignment="1">
      <alignment horizontal="right" wrapText="1"/>
    </xf>
    <xf numFmtId="0" fontId="2" fillId="5" borderId="0" xfId="0" applyFont="1" applyFill="1" applyBorder="1"/>
    <xf numFmtId="0" fontId="0" fillId="5" borderId="0" xfId="0" applyFill="1"/>
    <xf numFmtId="2" fontId="2" fillId="5" borderId="62" xfId="0" applyNumberFormat="1" applyFont="1" applyFill="1" applyBorder="1"/>
    <xf numFmtId="0" fontId="2" fillId="0" borderId="32" xfId="0" applyFont="1" applyBorder="1" applyAlignment="1">
      <alignment wrapText="1"/>
    </xf>
    <xf numFmtId="0" fontId="2" fillId="3" borderId="26" xfId="0" applyFont="1" applyFill="1" applyBorder="1"/>
    <xf numFmtId="0" fontId="2" fillId="0" borderId="26" xfId="0" applyFont="1" applyBorder="1"/>
    <xf numFmtId="0" fontId="2" fillId="0" borderId="32" xfId="0" applyFont="1" applyBorder="1"/>
    <xf numFmtId="0" fontId="2" fillId="3" borderId="8" xfId="0" applyFont="1" applyFill="1" applyBorder="1"/>
    <xf numFmtId="0" fontId="2" fillId="3" borderId="5" xfId="0" applyFont="1" applyFill="1" applyBorder="1"/>
    <xf numFmtId="0" fontId="4" fillId="0" borderId="0" xfId="0" applyFont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5" fillId="10" borderId="9" xfId="0" applyFont="1" applyFill="1" applyBorder="1" applyAlignment="1">
      <alignment wrapText="1"/>
    </xf>
    <xf numFmtId="0" fontId="5" fillId="13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11" borderId="9" xfId="0" applyFont="1" applyFill="1" applyBorder="1" applyAlignment="1">
      <alignment wrapText="1"/>
    </xf>
    <xf numFmtId="0" fontId="5" fillId="0" borderId="28" xfId="0" applyFont="1" applyBorder="1" applyAlignment="1">
      <alignment horizontal="left" wrapText="1" indent="3"/>
    </xf>
    <xf numFmtId="0" fontId="7" fillId="0" borderId="0" xfId="0" applyFont="1"/>
    <xf numFmtId="0" fontId="8" fillId="0" borderId="2" xfId="0" applyFont="1" applyBorder="1"/>
    <xf numFmtId="0" fontId="0" fillId="0" borderId="2" xfId="0" applyFill="1" applyBorder="1"/>
    <xf numFmtId="0" fontId="6" fillId="0" borderId="2" xfId="0" applyFont="1" applyBorder="1"/>
    <xf numFmtId="2" fontId="6" fillId="0" borderId="2" xfId="0" applyNumberFormat="1" applyFont="1" applyBorder="1"/>
    <xf numFmtId="2" fontId="0" fillId="0" borderId="17" xfId="0" applyNumberFormat="1" applyBorder="1"/>
    <xf numFmtId="0" fontId="9" fillId="0" borderId="0" xfId="0" applyFont="1"/>
    <xf numFmtId="0" fontId="5" fillId="12" borderId="34" xfId="0" applyFont="1" applyFill="1" applyBorder="1" applyAlignment="1">
      <alignment wrapText="1"/>
    </xf>
    <xf numFmtId="0" fontId="5" fillId="12" borderId="16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9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5" fillId="0" borderId="0" xfId="0" applyFont="1" applyBorder="1" applyAlignment="1">
      <alignment horizontal="center"/>
    </xf>
    <xf numFmtId="0" fontId="10" fillId="0" borderId="0" xfId="0" applyFont="1" applyBorder="1"/>
    <xf numFmtId="0" fontId="5" fillId="0" borderId="0" xfId="0" applyFont="1" applyBorder="1"/>
    <xf numFmtId="0" fontId="9" fillId="0" borderId="0" xfId="0" applyFont="1" applyBorder="1"/>
    <xf numFmtId="2" fontId="11" fillId="0" borderId="0" xfId="0" applyNumberFormat="1" applyFont="1" applyBorder="1"/>
    <xf numFmtId="0" fontId="5" fillId="0" borderId="0" xfId="0" applyFont="1" applyAlignment="1"/>
    <xf numFmtId="0" fontId="12" fillId="0" borderId="0" xfId="0" applyFont="1" applyAlignment="1"/>
    <xf numFmtId="0" fontId="12" fillId="0" borderId="2" xfId="0" applyFont="1" applyBorder="1" applyAlignment="1">
      <alignment horizontal="left"/>
    </xf>
    <xf numFmtId="0" fontId="9" fillId="0" borderId="2" xfId="0" applyFont="1" applyBorder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2" fontId="9" fillId="0" borderId="0" xfId="0" applyNumberFormat="1" applyFont="1" applyBorder="1"/>
    <xf numFmtId="0" fontId="12" fillId="0" borderId="0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2" fontId="9" fillId="0" borderId="6" xfId="0" applyNumberFormat="1" applyFont="1" applyBorder="1"/>
    <xf numFmtId="0" fontId="5" fillId="0" borderId="35" xfId="0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3" fillId="2" borderId="25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wrapText="1"/>
    </xf>
    <xf numFmtId="0" fontId="5" fillId="0" borderId="29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2" fontId="5" fillId="0" borderId="41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3" fillId="2" borderId="60" xfId="0" applyFont="1" applyFill="1" applyBorder="1" applyAlignment="1">
      <alignment horizontal="center" wrapText="1"/>
    </xf>
    <xf numFmtId="0" fontId="13" fillId="2" borderId="55" xfId="0" applyFont="1" applyFill="1" applyBorder="1" applyAlignment="1">
      <alignment wrapText="1"/>
    </xf>
    <xf numFmtId="0" fontId="12" fillId="0" borderId="15" xfId="0" applyFont="1" applyBorder="1" applyAlignment="1"/>
    <xf numFmtId="0" fontId="9" fillId="0" borderId="15" xfId="0" applyFont="1" applyBorder="1"/>
    <xf numFmtId="0" fontId="14" fillId="2" borderId="28" xfId="0" applyFont="1" applyFill="1" applyBorder="1"/>
    <xf numFmtId="0" fontId="14" fillId="2" borderId="40" xfId="0" applyFont="1" applyFill="1" applyBorder="1"/>
    <xf numFmtId="0" fontId="9" fillId="2" borderId="28" xfId="0" applyFont="1" applyFill="1" applyBorder="1"/>
    <xf numFmtId="0" fontId="9" fillId="2" borderId="30" xfId="0" applyFont="1" applyFill="1" applyBorder="1"/>
    <xf numFmtId="0" fontId="9" fillId="2" borderId="40" xfId="0" applyFont="1" applyFill="1" applyBorder="1"/>
    <xf numFmtId="0" fontId="9" fillId="0" borderId="28" xfId="0" applyFont="1" applyBorder="1"/>
    <xf numFmtId="0" fontId="9" fillId="0" borderId="30" xfId="0" applyFont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left" wrapText="1" indent="3"/>
    </xf>
    <xf numFmtId="2" fontId="5" fillId="0" borderId="2" xfId="0" applyNumberFormat="1" applyFont="1" applyBorder="1"/>
    <xf numFmtId="2" fontId="5" fillId="0" borderId="3" xfId="0" applyNumberFormat="1" applyFont="1" applyBorder="1"/>
    <xf numFmtId="2" fontId="5" fillId="0" borderId="0" xfId="0" applyNumberFormat="1" applyFont="1"/>
    <xf numFmtId="2" fontId="13" fillId="2" borderId="8" xfId="0" applyNumberFormat="1" applyFont="1" applyFill="1" applyBorder="1"/>
    <xf numFmtId="2" fontId="13" fillId="2" borderId="15" xfId="0" applyNumberFormat="1" applyFont="1" applyFill="1" applyBorder="1"/>
    <xf numFmtId="2" fontId="5" fillId="2" borderId="47" xfId="0" applyNumberFormat="1" applyFont="1" applyFill="1" applyBorder="1"/>
    <xf numFmtId="2" fontId="5" fillId="2" borderId="48" xfId="0" applyNumberFormat="1" applyFont="1" applyFill="1" applyBorder="1"/>
    <xf numFmtId="2" fontId="5" fillId="2" borderId="15" xfId="0" applyNumberFormat="1" applyFont="1" applyFill="1" applyBorder="1"/>
    <xf numFmtId="0" fontId="5" fillId="0" borderId="7" xfId="0" applyFont="1" applyBorder="1"/>
    <xf numFmtId="2" fontId="5" fillId="0" borderId="7" xfId="0" applyNumberFormat="1" applyFont="1" applyBorder="1"/>
    <xf numFmtId="2" fontId="13" fillId="2" borderId="5" xfId="0" applyNumberFormat="1" applyFont="1" applyFill="1" applyBorder="1"/>
    <xf numFmtId="2" fontId="5" fillId="2" borderId="3" xfId="0" applyNumberFormat="1" applyFont="1" applyFill="1" applyBorder="1"/>
    <xf numFmtId="0" fontId="5" fillId="0" borderId="2" xfId="0" applyFont="1" applyBorder="1"/>
    <xf numFmtId="0" fontId="5" fillId="0" borderId="5" xfId="0" applyFont="1" applyBorder="1" applyAlignment="1">
      <alignment horizontal="left" wrapText="1" indent="3"/>
    </xf>
    <xf numFmtId="2" fontId="15" fillId="0" borderId="3" xfId="0" applyNumberFormat="1" applyFont="1" applyBorder="1"/>
    <xf numFmtId="2" fontId="15" fillId="0" borderId="2" xfId="0" applyNumberFormat="1" applyFont="1" applyBorder="1"/>
    <xf numFmtId="0" fontId="15" fillId="0" borderId="0" xfId="0" applyFont="1"/>
    <xf numFmtId="2" fontId="15" fillId="0" borderId="0" xfId="0" applyNumberFormat="1" applyFont="1"/>
    <xf numFmtId="2" fontId="15" fillId="2" borderId="5" xfId="0" applyNumberFormat="1" applyFont="1" applyFill="1" applyBorder="1"/>
    <xf numFmtId="2" fontId="15" fillId="2" borderId="15" xfId="0" applyNumberFormat="1" applyFont="1" applyFill="1" applyBorder="1"/>
    <xf numFmtId="2" fontId="15" fillId="2" borderId="47" xfId="0" applyNumberFormat="1" applyFont="1" applyFill="1" applyBorder="1"/>
    <xf numFmtId="2" fontId="15" fillId="2" borderId="48" xfId="0" applyNumberFormat="1" applyFont="1" applyFill="1" applyBorder="1"/>
    <xf numFmtId="0" fontId="15" fillId="0" borderId="2" xfId="0" applyFont="1" applyBorder="1"/>
    <xf numFmtId="2" fontId="9" fillId="2" borderId="0" xfId="0" applyNumberFormat="1" applyFont="1" applyFill="1"/>
    <xf numFmtId="0" fontId="15" fillId="0" borderId="6" xfId="0" applyFont="1" applyBorder="1" applyAlignment="1">
      <alignment horizontal="left" wrapText="1" indent="3"/>
    </xf>
    <xf numFmtId="2" fontId="15" fillId="0" borderId="14" xfId="0" applyNumberFormat="1" applyFont="1" applyBorder="1"/>
    <xf numFmtId="0" fontId="5" fillId="0" borderId="6" xfId="0" applyFont="1" applyBorder="1" applyAlignment="1">
      <alignment horizontal="left" wrapText="1" indent="3"/>
    </xf>
    <xf numFmtId="2" fontId="5" fillId="0" borderId="14" xfId="0" applyNumberFormat="1" applyFont="1" applyBorder="1"/>
    <xf numFmtId="49" fontId="5" fillId="14" borderId="2" xfId="0" applyNumberFormat="1" applyFont="1" applyFill="1" applyBorder="1"/>
    <xf numFmtId="0" fontId="5" fillId="14" borderId="6" xfId="0" applyFont="1" applyFill="1" applyBorder="1" applyAlignment="1">
      <alignment horizontal="left" wrapText="1" indent="3"/>
    </xf>
    <xf numFmtId="2" fontId="5" fillId="14" borderId="6" xfId="0" applyNumberFormat="1" applyFont="1" applyFill="1" applyBorder="1"/>
    <xf numFmtId="2" fontId="5" fillId="14" borderId="14" xfId="0" applyNumberFormat="1" applyFont="1" applyFill="1" applyBorder="1"/>
    <xf numFmtId="2" fontId="5" fillId="14" borderId="0" xfId="0" applyNumberFormat="1" applyFont="1" applyFill="1"/>
    <xf numFmtId="0" fontId="5" fillId="14" borderId="0" xfId="0" applyFont="1" applyFill="1"/>
    <xf numFmtId="2" fontId="5" fillId="14" borderId="26" xfId="0" applyNumberFormat="1" applyFont="1" applyFill="1" applyBorder="1"/>
    <xf numFmtId="2" fontId="13" fillId="14" borderId="15" xfId="0" applyNumberFormat="1" applyFont="1" applyFill="1" applyBorder="1"/>
    <xf numFmtId="2" fontId="5" fillId="14" borderId="54" xfId="0" applyNumberFormat="1" applyFont="1" applyFill="1" applyBorder="1"/>
    <xf numFmtId="2" fontId="5" fillId="14" borderId="48" xfId="0" applyNumberFormat="1" applyFont="1" applyFill="1" applyBorder="1"/>
    <xf numFmtId="2" fontId="5" fillId="14" borderId="15" xfId="0" applyNumberFormat="1" applyFont="1" applyFill="1" applyBorder="1"/>
    <xf numFmtId="2" fontId="5" fillId="14" borderId="7" xfId="0" applyNumberFormat="1" applyFont="1" applyFill="1" applyBorder="1"/>
    <xf numFmtId="49" fontId="5" fillId="0" borderId="9" xfId="0" applyNumberFormat="1" applyFont="1" applyBorder="1"/>
    <xf numFmtId="0" fontId="5" fillId="0" borderId="10" xfId="0" applyFont="1" applyBorder="1" applyAlignment="1">
      <alignment horizontal="left" wrapText="1" indent="3"/>
    </xf>
    <xf numFmtId="2" fontId="5" fillId="0" borderId="10" xfId="0" applyNumberFormat="1" applyFont="1" applyBorder="1"/>
    <xf numFmtId="2" fontId="5" fillId="0" borderId="13" xfId="0" applyNumberFormat="1" applyFont="1" applyBorder="1"/>
    <xf numFmtId="2" fontId="5" fillId="0" borderId="33" xfId="0" applyNumberFormat="1" applyFont="1" applyBorder="1"/>
    <xf numFmtId="2" fontId="5" fillId="0" borderId="31" xfId="0" applyNumberFormat="1" applyFont="1" applyBorder="1"/>
    <xf numFmtId="0" fontId="5" fillId="0" borderId="33" xfId="0" applyFont="1" applyBorder="1"/>
    <xf numFmtId="0" fontId="5" fillId="0" borderId="10" xfId="0" applyFont="1" applyBorder="1"/>
    <xf numFmtId="2" fontId="13" fillId="2" borderId="17" xfId="0" applyNumberFormat="1" applyFont="1" applyFill="1" applyBorder="1"/>
    <xf numFmtId="0" fontId="5" fillId="0" borderId="32" xfId="0" applyFont="1" applyBorder="1"/>
    <xf numFmtId="2" fontId="5" fillId="0" borderId="17" xfId="0" applyNumberFormat="1" applyFont="1" applyBorder="1"/>
    <xf numFmtId="49" fontId="9" fillId="0" borderId="16" xfId="0" applyNumberFormat="1" applyFont="1" applyBorder="1"/>
    <xf numFmtId="0" fontId="9" fillId="0" borderId="16" xfId="0" applyFont="1" applyBorder="1" applyAlignment="1">
      <alignment horizontal="left" wrapText="1" indent="3"/>
    </xf>
    <xf numFmtId="2" fontId="9" fillId="0" borderId="7" xfId="0" applyNumberFormat="1" applyFont="1" applyBorder="1"/>
    <xf numFmtId="2" fontId="9" fillId="0" borderId="16" xfId="0" applyNumberFormat="1" applyFont="1" applyBorder="1"/>
    <xf numFmtId="2" fontId="9" fillId="0" borderId="18" xfId="0" applyNumberFormat="1" applyFont="1" applyBorder="1"/>
    <xf numFmtId="0" fontId="9" fillId="0" borderId="7" xfId="0" applyFont="1" applyBorder="1"/>
    <xf numFmtId="0" fontId="14" fillId="2" borderId="8" xfId="0" applyFont="1" applyFill="1" applyBorder="1"/>
    <xf numFmtId="0" fontId="14" fillId="2" borderId="15" xfId="0" applyFont="1" applyFill="1" applyBorder="1"/>
    <xf numFmtId="49" fontId="9" fillId="0" borderId="6" xfId="0" applyNumberFormat="1" applyFont="1" applyBorder="1"/>
    <xf numFmtId="0" fontId="9" fillId="0" borderId="6" xfId="0" applyFont="1" applyBorder="1" applyAlignment="1">
      <alignment horizontal="right" wrapText="1"/>
    </xf>
    <xf numFmtId="2" fontId="9" fillId="0" borderId="2" xfId="0" applyNumberFormat="1" applyFont="1" applyBorder="1"/>
    <xf numFmtId="2" fontId="9" fillId="0" borderId="14" xfId="0" applyNumberFormat="1" applyFont="1" applyBorder="1"/>
    <xf numFmtId="0" fontId="14" fillId="2" borderId="5" xfId="0" applyFont="1" applyFill="1" applyBorder="1"/>
    <xf numFmtId="2" fontId="13" fillId="5" borderId="15" xfId="0" applyNumberFormat="1" applyFont="1" applyFill="1" applyBorder="1"/>
    <xf numFmtId="2" fontId="9" fillId="0" borderId="3" xfId="0" applyNumberFormat="1" applyFont="1" applyBorder="1"/>
    <xf numFmtId="2" fontId="5" fillId="0" borderId="6" xfId="0" applyNumberFormat="1" applyFont="1" applyBorder="1"/>
    <xf numFmtId="0" fontId="9" fillId="0" borderId="6" xfId="0" applyFont="1" applyBorder="1"/>
    <xf numFmtId="0" fontId="14" fillId="2" borderId="26" xfId="0" applyFont="1" applyFill="1" applyBorder="1"/>
    <xf numFmtId="2" fontId="13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53" xfId="0" applyNumberFormat="1" applyFont="1" applyFill="1" applyBorder="1"/>
    <xf numFmtId="2" fontId="5" fillId="2" borderId="14" xfId="0" applyNumberFormat="1" applyFont="1" applyFill="1" applyBorder="1"/>
    <xf numFmtId="2" fontId="5" fillId="2" borderId="18" xfId="0" applyNumberFormat="1" applyFont="1" applyFill="1" applyBorder="1"/>
    <xf numFmtId="2" fontId="13" fillId="5" borderId="18" xfId="0" applyNumberFormat="1" applyFont="1" applyFill="1" applyBorder="1"/>
    <xf numFmtId="49" fontId="9" fillId="14" borderId="9" xfId="0" applyNumberFormat="1" applyFont="1" applyFill="1" applyBorder="1"/>
    <xf numFmtId="0" fontId="10" fillId="14" borderId="10" xfId="0" applyFont="1" applyFill="1" applyBorder="1" applyAlignment="1">
      <alignment horizontal="right" wrapText="1"/>
    </xf>
    <xf numFmtId="2" fontId="9" fillId="14" borderId="10" xfId="0" applyNumberFormat="1" applyFont="1" applyFill="1" applyBorder="1"/>
    <xf numFmtId="2" fontId="9" fillId="14" borderId="13" xfId="0" applyNumberFormat="1" applyFont="1" applyFill="1" applyBorder="1"/>
    <xf numFmtId="2" fontId="5" fillId="14" borderId="33" xfId="0" applyNumberFormat="1" applyFont="1" applyFill="1" applyBorder="1"/>
    <xf numFmtId="2" fontId="5" fillId="14" borderId="10" xfId="0" applyNumberFormat="1" applyFont="1" applyFill="1" applyBorder="1"/>
    <xf numFmtId="0" fontId="9" fillId="14" borderId="33" xfId="0" applyFont="1" applyFill="1" applyBorder="1"/>
    <xf numFmtId="2" fontId="9" fillId="14" borderId="33" xfId="0" applyNumberFormat="1" applyFont="1" applyFill="1" applyBorder="1"/>
    <xf numFmtId="0" fontId="9" fillId="14" borderId="10" xfId="0" applyFont="1" applyFill="1" applyBorder="1"/>
    <xf numFmtId="0" fontId="14" fillId="14" borderId="32" xfId="0" applyFont="1" applyFill="1" applyBorder="1"/>
    <xf numFmtId="2" fontId="13" fillId="14" borderId="13" xfId="0" applyNumberFormat="1" applyFont="1" applyFill="1" applyBorder="1"/>
    <xf numFmtId="2" fontId="5" fillId="14" borderId="9" xfId="0" applyNumberFormat="1" applyFont="1" applyFill="1" applyBorder="1"/>
    <xf numFmtId="2" fontId="5" fillId="14" borderId="17" xfId="0" applyNumberFormat="1" applyFont="1" applyFill="1" applyBorder="1"/>
    <xf numFmtId="2" fontId="5" fillId="14" borderId="13" xfId="0" applyNumberFormat="1" applyFont="1" applyFill="1" applyBorder="1"/>
    <xf numFmtId="0" fontId="9" fillId="14" borderId="26" xfId="0" applyFont="1" applyFill="1" applyBorder="1"/>
    <xf numFmtId="2" fontId="9" fillId="14" borderId="6" xfId="0" applyNumberFormat="1" applyFont="1" applyFill="1" applyBorder="1"/>
    <xf numFmtId="49" fontId="15" fillId="0" borderId="18" xfId="0" applyNumberFormat="1" applyFont="1" applyBorder="1"/>
    <xf numFmtId="0" fontId="5" fillId="5" borderId="28" xfId="0" applyFont="1" applyFill="1" applyBorder="1" applyAlignment="1">
      <alignment horizontal="left" wrapText="1" indent="3"/>
    </xf>
    <xf numFmtId="2" fontId="5" fillId="5" borderId="29" xfId="0" applyNumberFormat="1" applyFont="1" applyFill="1" applyBorder="1"/>
    <xf numFmtId="2" fontId="5" fillId="5" borderId="40" xfId="0" applyNumberFormat="1" applyFont="1" applyFill="1" applyBorder="1"/>
    <xf numFmtId="2" fontId="5" fillId="5" borderId="41" xfId="0" applyNumberFormat="1" applyFont="1" applyFill="1" applyBorder="1"/>
    <xf numFmtId="2" fontId="5" fillId="9" borderId="40" xfId="0" applyNumberFormat="1" applyFont="1" applyFill="1" applyBorder="1"/>
    <xf numFmtId="2" fontId="5" fillId="9" borderId="29" xfId="0" applyNumberFormat="1" applyFont="1" applyFill="1" applyBorder="1"/>
    <xf numFmtId="0" fontId="5" fillId="9" borderId="41" xfId="0" applyFont="1" applyFill="1" applyBorder="1"/>
    <xf numFmtId="2" fontId="5" fillId="9" borderId="41" xfId="0" applyNumberFormat="1" applyFont="1" applyFill="1" applyBorder="1"/>
    <xf numFmtId="2" fontId="5" fillId="9" borderId="68" xfId="0" applyNumberFormat="1" applyFont="1" applyFill="1" applyBorder="1"/>
    <xf numFmtId="2" fontId="13" fillId="9" borderId="30" xfId="0" applyNumberFormat="1" applyFont="1" applyFill="1" applyBorder="1"/>
    <xf numFmtId="2" fontId="5" fillId="9" borderId="28" xfId="0" applyNumberFormat="1" applyFont="1" applyFill="1" applyBorder="1"/>
    <xf numFmtId="2" fontId="5" fillId="9" borderId="30" xfId="0" applyNumberFormat="1" applyFont="1" applyFill="1" applyBorder="1"/>
    <xf numFmtId="0" fontId="5" fillId="9" borderId="9" xfId="0" applyFont="1" applyFill="1" applyBorder="1"/>
    <xf numFmtId="49" fontId="5" fillId="0" borderId="14" xfId="0" applyNumberFormat="1" applyFont="1" applyBorder="1"/>
    <xf numFmtId="2" fontId="5" fillId="0" borderId="29" xfId="0" applyNumberFormat="1" applyFont="1" applyBorder="1"/>
    <xf numFmtId="2" fontId="5" fillId="0" borderId="40" xfId="0" applyNumberFormat="1" applyFont="1" applyBorder="1"/>
    <xf numFmtId="2" fontId="5" fillId="0" borderId="41" xfId="0" applyNumberFormat="1" applyFont="1" applyBorder="1"/>
    <xf numFmtId="2" fontId="5" fillId="0" borderId="9" xfId="0" applyNumberFormat="1" applyFont="1" applyBorder="1"/>
    <xf numFmtId="2" fontId="13" fillId="2" borderId="13" xfId="0" applyNumberFormat="1" applyFont="1" applyFill="1" applyBorder="1"/>
    <xf numFmtId="2" fontId="5" fillId="2" borderId="9" xfId="0" applyNumberFormat="1" applyFont="1" applyFill="1" applyBorder="1"/>
    <xf numFmtId="0" fontId="5" fillId="0" borderId="9" xfId="0" applyFont="1" applyBorder="1"/>
    <xf numFmtId="2" fontId="15" fillId="0" borderId="17" xfId="0" applyNumberFormat="1" applyFont="1" applyBorder="1"/>
    <xf numFmtId="0" fontId="9" fillId="0" borderId="16" xfId="0" applyFont="1" applyBorder="1" applyAlignment="1">
      <alignment horizontal="right" wrapText="1"/>
    </xf>
    <xf numFmtId="0" fontId="9" fillId="5" borderId="6" xfId="0" applyFont="1" applyFill="1" applyBorder="1" applyAlignment="1">
      <alignment horizontal="right" wrapText="1"/>
    </xf>
    <xf numFmtId="0" fontId="16" fillId="0" borderId="0" xfId="0" applyFont="1"/>
    <xf numFmtId="0" fontId="16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right" wrapText="1"/>
    </xf>
    <xf numFmtId="49" fontId="9" fillId="14" borderId="6" xfId="0" applyNumberFormat="1" applyFont="1" applyFill="1" applyBorder="1"/>
    <xf numFmtId="0" fontId="10" fillId="14" borderId="6" xfId="0" applyFont="1" applyFill="1" applyBorder="1" applyAlignment="1">
      <alignment horizontal="right" wrapText="1"/>
    </xf>
    <xf numFmtId="2" fontId="9" fillId="14" borderId="14" xfId="0" applyNumberFormat="1" applyFont="1" applyFill="1" applyBorder="1"/>
    <xf numFmtId="0" fontId="9" fillId="14" borderId="6" xfId="0" applyFont="1" applyFill="1" applyBorder="1"/>
    <xf numFmtId="0" fontId="9" fillId="14" borderId="0" xfId="0" applyFont="1" applyFill="1"/>
    <xf numFmtId="49" fontId="12" fillId="0" borderId="11" xfId="0" applyNumberFormat="1" applyFont="1" applyBorder="1" applyAlignment="1"/>
    <xf numFmtId="0" fontId="9" fillId="0" borderId="2" xfId="0" applyFont="1" applyBorder="1" applyAlignment="1">
      <alignment wrapText="1"/>
    </xf>
    <xf numFmtId="2" fontId="9" fillId="0" borderId="4" xfId="0" applyNumberFormat="1" applyFont="1" applyBorder="1"/>
    <xf numFmtId="2" fontId="5" fillId="2" borderId="50" xfId="0" applyNumberFormat="1" applyFont="1" applyFill="1" applyBorder="1"/>
    <xf numFmtId="49" fontId="5" fillId="5" borderId="2" xfId="0" applyNumberFormat="1" applyFont="1" applyFill="1" applyBorder="1"/>
    <xf numFmtId="0" fontId="5" fillId="5" borderId="2" xfId="0" applyFont="1" applyFill="1" applyBorder="1" applyAlignment="1">
      <alignment horizontal="left" wrapText="1" indent="3"/>
    </xf>
    <xf numFmtId="2" fontId="5" fillId="9" borderId="4" xfId="0" applyNumberFormat="1" applyFont="1" applyFill="1" applyBorder="1"/>
    <xf numFmtId="2" fontId="5" fillId="9" borderId="2" xfId="0" applyNumberFormat="1" applyFont="1" applyFill="1" applyBorder="1"/>
    <xf numFmtId="0" fontId="5" fillId="9" borderId="0" xfId="0" applyFont="1" applyFill="1"/>
    <xf numFmtId="2" fontId="5" fillId="9" borderId="0" xfId="0" applyNumberFormat="1" applyFont="1" applyFill="1"/>
    <xf numFmtId="2" fontId="5" fillId="2" borderId="4" xfId="0" applyNumberFormat="1" applyFont="1" applyFill="1" applyBorder="1"/>
    <xf numFmtId="2" fontId="5" fillId="5" borderId="2" xfId="0" applyNumberFormat="1" applyFont="1" applyFill="1" applyBorder="1"/>
    <xf numFmtId="0" fontId="9" fillId="0" borderId="2" xfId="0" applyFont="1" applyBorder="1" applyAlignment="1">
      <alignment horizontal="left" wrapText="1" indent="3"/>
    </xf>
    <xf numFmtId="2" fontId="5" fillId="0" borderId="4" xfId="0" applyNumberFormat="1" applyFont="1" applyBorder="1"/>
    <xf numFmtId="9" fontId="9" fillId="0" borderId="0" xfId="0" applyNumberFormat="1" applyFont="1"/>
    <xf numFmtId="0" fontId="5" fillId="0" borderId="6" xfId="0" applyFont="1" applyBorder="1"/>
    <xf numFmtId="2" fontId="5" fillId="0" borderId="39" xfId="0" applyNumberFormat="1" applyFont="1" applyBorder="1"/>
    <xf numFmtId="0" fontId="13" fillId="2" borderId="26" xfId="0" applyFont="1" applyFill="1" applyBorder="1"/>
    <xf numFmtId="49" fontId="5" fillId="14" borderId="31" xfId="0" applyNumberFormat="1" applyFont="1" applyFill="1" applyBorder="1"/>
    <xf numFmtId="0" fontId="10" fillId="14" borderId="9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2" fontId="5" fillId="0" borderId="15" xfId="0" applyNumberFormat="1" applyFont="1" applyBorder="1"/>
    <xf numFmtId="2" fontId="5" fillId="0" borderId="1" xfId="0" applyNumberFormat="1" applyFont="1" applyBorder="1"/>
    <xf numFmtId="0" fontId="13" fillId="2" borderId="8" xfId="0" applyFont="1" applyFill="1" applyBorder="1"/>
    <xf numFmtId="2" fontId="5" fillId="0" borderId="59" xfId="0" applyNumberFormat="1" applyFont="1" applyBorder="1"/>
    <xf numFmtId="0" fontId="5" fillId="0" borderId="2" xfId="0" applyFont="1" applyBorder="1" applyAlignment="1">
      <alignment wrapText="1"/>
    </xf>
    <xf numFmtId="2" fontId="5" fillId="0" borderId="0" xfId="0" applyNumberFormat="1" applyFont="1" applyBorder="1"/>
    <xf numFmtId="49" fontId="5" fillId="14" borderId="9" xfId="0" applyNumberFormat="1" applyFont="1" applyFill="1" applyBorder="1"/>
    <xf numFmtId="0" fontId="15" fillId="14" borderId="10" xfId="0" applyFont="1" applyFill="1" applyBorder="1" applyAlignment="1">
      <alignment wrapText="1"/>
    </xf>
    <xf numFmtId="2" fontId="5" fillId="14" borderId="18" xfId="0" applyNumberFormat="1" applyFont="1" applyFill="1" applyBorder="1"/>
    <xf numFmtId="0" fontId="5" fillId="14" borderId="33" xfId="0" applyFont="1" applyFill="1" applyBorder="1"/>
    <xf numFmtId="0" fontId="5" fillId="14" borderId="9" xfId="0" applyFont="1" applyFill="1" applyBorder="1"/>
    <xf numFmtId="2" fontId="5" fillId="14" borderId="2" xfId="0" applyNumberFormat="1" applyFont="1" applyFill="1" applyBorder="1"/>
    <xf numFmtId="0" fontId="12" fillId="0" borderId="7" xfId="0" applyFont="1" applyBorder="1" applyAlignment="1">
      <alignment wrapText="1"/>
    </xf>
    <xf numFmtId="2" fontId="5" fillId="0" borderId="16" xfId="0" applyNumberFormat="1" applyFont="1" applyBorder="1"/>
    <xf numFmtId="0" fontId="13" fillId="2" borderId="27" xfId="0" applyFont="1" applyFill="1" applyBorder="1"/>
    <xf numFmtId="2" fontId="14" fillId="2" borderId="18" xfId="0" applyNumberFormat="1" applyFont="1" applyFill="1" applyBorder="1"/>
    <xf numFmtId="49" fontId="17" fillId="0" borderId="9" xfId="0" applyNumberFormat="1" applyFont="1" applyBorder="1"/>
    <xf numFmtId="0" fontId="17" fillId="0" borderId="10" xfId="0" applyFont="1" applyBorder="1"/>
    <xf numFmtId="2" fontId="17" fillId="0" borderId="10" xfId="0" applyNumberFormat="1" applyFont="1" applyBorder="1"/>
    <xf numFmtId="2" fontId="17" fillId="0" borderId="18" xfId="0" applyNumberFormat="1" applyFont="1" applyBorder="1"/>
    <xf numFmtId="2" fontId="17" fillId="0" borderId="33" xfId="0" applyNumberFormat="1" applyFont="1" applyBorder="1"/>
    <xf numFmtId="2" fontId="17" fillId="0" borderId="9" xfId="0" applyNumberFormat="1" applyFont="1" applyBorder="1"/>
    <xf numFmtId="0" fontId="5" fillId="0" borderId="13" xfId="0" applyFont="1" applyBorder="1"/>
    <xf numFmtId="2" fontId="17" fillId="2" borderId="44" xfId="0" applyNumberFormat="1" applyFont="1" applyFill="1" applyBorder="1"/>
    <xf numFmtId="2" fontId="16" fillId="2" borderId="51" xfId="0" applyNumberFormat="1" applyFont="1" applyFill="1" applyBorder="1"/>
    <xf numFmtId="2" fontId="18" fillId="2" borderId="44" xfId="0" applyNumberFormat="1" applyFont="1" applyFill="1" applyBorder="1"/>
    <xf numFmtId="2" fontId="18" fillId="2" borderId="34" xfId="0" applyNumberFormat="1" applyFont="1" applyFill="1" applyBorder="1"/>
    <xf numFmtId="2" fontId="16" fillId="2" borderId="36" xfId="0" applyNumberFormat="1" applyFont="1" applyFill="1" applyBorder="1"/>
    <xf numFmtId="49" fontId="9" fillId="0" borderId="0" xfId="0" applyNumberFormat="1" applyFont="1"/>
    <xf numFmtId="0" fontId="9" fillId="0" borderId="16" xfId="0" applyFont="1" applyBorder="1"/>
    <xf numFmtId="0" fontId="9" fillId="0" borderId="34" xfId="0" applyFont="1" applyBorder="1"/>
    <xf numFmtId="0" fontId="9" fillId="0" borderId="56" xfId="0" applyFont="1" applyBorder="1"/>
    <xf numFmtId="2" fontId="9" fillId="0" borderId="56" xfId="0" applyNumberFormat="1" applyFont="1" applyBorder="1"/>
    <xf numFmtId="0" fontId="14" fillId="2" borderId="2" xfId="0" applyFont="1" applyFill="1" applyBorder="1"/>
    <xf numFmtId="2" fontId="5" fillId="2" borderId="2" xfId="0" applyNumberFormat="1" applyFont="1" applyFill="1" applyBorder="1"/>
    <xf numFmtId="0" fontId="5" fillId="2" borderId="2" xfId="0" applyFont="1" applyFill="1" applyBorder="1"/>
    <xf numFmtId="49" fontId="5" fillId="0" borderId="34" xfId="0" applyNumberFormat="1" applyFont="1" applyBorder="1"/>
    <xf numFmtId="0" fontId="15" fillId="0" borderId="2" xfId="0" applyFont="1" applyBorder="1" applyAlignment="1">
      <alignment wrapText="1"/>
    </xf>
    <xf numFmtId="2" fontId="19" fillId="2" borderId="2" xfId="0" applyNumberFormat="1" applyFont="1" applyFill="1" applyBorder="1"/>
    <xf numFmtId="0" fontId="5" fillId="2" borderId="28" xfId="0" applyFont="1" applyFill="1" applyBorder="1" applyAlignment="1">
      <alignment wrapText="1"/>
    </xf>
    <xf numFmtId="0" fontId="5" fillId="0" borderId="29" xfId="0" applyFont="1" applyBorder="1" applyAlignment="1">
      <alignment wrapText="1"/>
    </xf>
    <xf numFmtId="2" fontId="5" fillId="0" borderId="29" xfId="0" applyNumberFormat="1" applyFont="1" applyBorder="1" applyAlignment="1">
      <alignment wrapText="1"/>
    </xf>
    <xf numFmtId="0" fontId="5" fillId="0" borderId="30" xfId="0" applyFont="1" applyBorder="1" applyAlignment="1">
      <alignment wrapTex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19" xfId="0" applyFont="1" applyBorder="1"/>
    <xf numFmtId="0" fontId="5" fillId="0" borderId="20" xfId="0" applyFont="1" applyBorder="1" applyAlignment="1">
      <alignment wrapText="1"/>
    </xf>
    <xf numFmtId="0" fontId="5" fillId="0" borderId="20" xfId="0" applyFont="1" applyBorder="1"/>
    <xf numFmtId="2" fontId="5" fillId="0" borderId="20" xfId="0" applyNumberFormat="1" applyFont="1" applyBorder="1"/>
    <xf numFmtId="2" fontId="5" fillId="0" borderId="20" xfId="0" applyNumberFormat="1" applyFont="1" applyBorder="1" applyAlignment="1">
      <alignment wrapText="1"/>
    </xf>
    <xf numFmtId="2" fontId="5" fillId="0" borderId="24" xfId="0" applyNumberFormat="1" applyFont="1" applyBorder="1"/>
    <xf numFmtId="2" fontId="5" fillId="0" borderId="2" xfId="0" applyNumberFormat="1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5" borderId="0" xfId="0" applyFont="1" applyFill="1" applyBorder="1"/>
    <xf numFmtId="0" fontId="13" fillId="5" borderId="0" xfId="0" applyFont="1" applyFill="1" applyBorder="1"/>
    <xf numFmtId="2" fontId="13" fillId="5" borderId="0" xfId="0" applyNumberFormat="1" applyFont="1" applyFill="1" applyBorder="1"/>
    <xf numFmtId="2" fontId="5" fillId="5" borderId="0" xfId="0" applyNumberFormat="1" applyFont="1" applyFill="1" applyBorder="1"/>
    <xf numFmtId="0" fontId="14" fillId="5" borderId="0" xfId="0" applyFont="1" applyFill="1" applyBorder="1"/>
    <xf numFmtId="0" fontId="5" fillId="3" borderId="28" xfId="0" applyFont="1" applyFill="1" applyBorder="1"/>
    <xf numFmtId="0" fontId="5" fillId="3" borderId="29" xfId="0" applyFont="1" applyFill="1" applyBorder="1" applyAlignment="1">
      <alignment wrapText="1"/>
    </xf>
    <xf numFmtId="0" fontId="5" fillId="3" borderId="29" xfId="0" applyFont="1" applyFill="1" applyBorder="1"/>
    <xf numFmtId="2" fontId="5" fillId="3" borderId="29" xfId="0" applyNumberFormat="1" applyFont="1" applyFill="1" applyBorder="1"/>
    <xf numFmtId="2" fontId="5" fillId="4" borderId="30" xfId="0" applyNumberFormat="1" applyFont="1" applyFill="1" applyBorder="1"/>
    <xf numFmtId="0" fontId="5" fillId="0" borderId="21" xfId="0" applyFont="1" applyBorder="1"/>
    <xf numFmtId="0" fontId="5" fillId="0" borderId="22" xfId="0" applyFont="1" applyBorder="1" applyAlignment="1">
      <alignment wrapText="1"/>
    </xf>
    <xf numFmtId="0" fontId="5" fillId="0" borderId="22" xfId="0" applyFont="1" applyBorder="1"/>
    <xf numFmtId="2" fontId="5" fillId="0" borderId="22" xfId="0" applyNumberFormat="1" applyFont="1" applyBorder="1"/>
    <xf numFmtId="2" fontId="5" fillId="0" borderId="23" xfId="0" applyNumberFormat="1" applyFont="1" applyBorder="1"/>
    <xf numFmtId="0" fontId="5" fillId="0" borderId="10" xfId="0" applyFont="1" applyBorder="1" applyAlignment="1">
      <alignment wrapText="1"/>
    </xf>
    <xf numFmtId="2" fontId="5" fillId="0" borderId="10" xfId="0" applyNumberFormat="1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6" xfId="0" applyFont="1" applyBorder="1"/>
    <xf numFmtId="0" fontId="5" fillId="0" borderId="16" xfId="0" applyFont="1" applyBorder="1" applyAlignment="1">
      <alignment wrapText="1"/>
    </xf>
    <xf numFmtId="0" fontId="5" fillId="3" borderId="27" xfId="0" applyFont="1" applyFill="1" applyBorder="1"/>
    <xf numFmtId="0" fontId="5" fillId="3" borderId="16" xfId="0" applyFont="1" applyFill="1" applyBorder="1" applyAlignment="1">
      <alignment wrapText="1"/>
    </xf>
    <xf numFmtId="0" fontId="5" fillId="3" borderId="16" xfId="0" applyFont="1" applyFill="1" applyBorder="1"/>
    <xf numFmtId="2" fontId="5" fillId="3" borderId="16" xfId="0" applyNumberFormat="1" applyFont="1" applyFill="1" applyBorder="1"/>
    <xf numFmtId="0" fontId="12" fillId="0" borderId="9" xfId="0" applyFont="1" applyBorder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2" fontId="12" fillId="0" borderId="10" xfId="0" applyNumberFormat="1" applyFont="1" applyBorder="1"/>
    <xf numFmtId="2" fontId="5" fillId="4" borderId="10" xfId="0" applyNumberFormat="1" applyFont="1" applyFill="1" applyBorder="1"/>
    <xf numFmtId="2" fontId="5" fillId="0" borderId="0" xfId="0" applyNumberFormat="1" applyFont="1" applyAlignment="1"/>
    <xf numFmtId="0" fontId="5" fillId="0" borderId="6" xfId="0" applyFont="1" applyBorder="1" applyAlignment="1">
      <alignment wrapText="1"/>
    </xf>
    <xf numFmtId="0" fontId="5" fillId="0" borderId="34" xfId="0" applyFont="1" applyBorder="1"/>
    <xf numFmtId="0" fontId="5" fillId="2" borderId="35" xfId="0" applyFont="1" applyFill="1" applyBorder="1" applyAlignment="1">
      <alignment wrapText="1"/>
    </xf>
    <xf numFmtId="0" fontId="5" fillId="0" borderId="35" xfId="0" applyFont="1" applyBorder="1"/>
    <xf numFmtId="2" fontId="5" fillId="0" borderId="35" xfId="0" applyNumberFormat="1" applyFont="1" applyBorder="1"/>
    <xf numFmtId="2" fontId="5" fillId="0" borderId="36" xfId="0" applyNumberFormat="1" applyFont="1" applyBorder="1"/>
    <xf numFmtId="0" fontId="5" fillId="0" borderId="37" xfId="0" applyFont="1" applyBorder="1"/>
    <xf numFmtId="2" fontId="5" fillId="0" borderId="38" xfId="0" applyNumberFormat="1" applyFont="1" applyBorder="1"/>
    <xf numFmtId="0" fontId="14" fillId="5" borderId="2" xfId="0" applyFont="1" applyFill="1" applyBorder="1"/>
    <xf numFmtId="2" fontId="20" fillId="0" borderId="0" xfId="0" applyNumberFormat="1" applyFont="1"/>
    <xf numFmtId="0" fontId="5" fillId="5" borderId="6" xfId="0" applyFont="1" applyFill="1" applyBorder="1" applyAlignment="1">
      <alignment wrapText="1"/>
    </xf>
    <xf numFmtId="0" fontId="13" fillId="5" borderId="2" xfId="0" applyFont="1" applyFill="1" applyBorder="1"/>
    <xf numFmtId="0" fontId="5" fillId="3" borderId="21" xfId="0" applyFont="1" applyFill="1" applyBorder="1"/>
    <xf numFmtId="0" fontId="5" fillId="3" borderId="22" xfId="0" applyFont="1" applyFill="1" applyBorder="1" applyAlignment="1">
      <alignment wrapText="1"/>
    </xf>
    <xf numFmtId="0" fontId="5" fillId="3" borderId="22" xfId="0" applyFont="1" applyFill="1" applyBorder="1"/>
    <xf numFmtId="2" fontId="5" fillId="3" borderId="22" xfId="0" applyNumberFormat="1" applyFont="1" applyFill="1" applyBorder="1"/>
    <xf numFmtId="2" fontId="5" fillId="3" borderId="23" xfId="0" applyNumberFormat="1" applyFont="1" applyFill="1" applyBorder="1"/>
    <xf numFmtId="0" fontId="5" fillId="5" borderId="0" xfId="0" applyFont="1" applyFill="1" applyBorder="1" applyAlignment="1">
      <alignment wrapText="1"/>
    </xf>
    <xf numFmtId="0" fontId="5" fillId="0" borderId="5" xfId="0" applyFont="1" applyBorder="1"/>
    <xf numFmtId="0" fontId="5" fillId="3" borderId="26" xfId="0" applyFont="1" applyFill="1" applyBorder="1"/>
    <xf numFmtId="2" fontId="5" fillId="3" borderId="6" xfId="0" applyNumberFormat="1" applyFont="1" applyFill="1" applyBorder="1"/>
    <xf numFmtId="2" fontId="5" fillId="3" borderId="7" xfId="0" applyNumberFormat="1" applyFont="1" applyFill="1" applyBorder="1"/>
    <xf numFmtId="0" fontId="9" fillId="5" borderId="0" xfId="0" applyFont="1" applyFill="1" applyBorder="1" applyAlignment="1">
      <alignment horizontal="right" wrapText="1"/>
    </xf>
    <xf numFmtId="0" fontId="21" fillId="3" borderId="5" xfId="0" applyFont="1" applyFill="1" applyBorder="1"/>
    <xf numFmtId="2" fontId="5" fillId="0" borderId="16" xfId="0" applyNumberFormat="1" applyFont="1" applyBorder="1" applyAlignment="1">
      <alignment wrapText="1"/>
    </xf>
    <xf numFmtId="0" fontId="13" fillId="2" borderId="5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wrapText="1"/>
    </xf>
    <xf numFmtId="0" fontId="13" fillId="2" borderId="26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14" fillId="2" borderId="34" xfId="0" applyFont="1" applyFill="1" applyBorder="1"/>
    <xf numFmtId="0" fontId="14" fillId="2" borderId="51" xfId="0" applyFont="1" applyFill="1" applyBorder="1"/>
    <xf numFmtId="0" fontId="9" fillId="6" borderId="34" xfId="0" applyFont="1" applyFill="1" applyBorder="1"/>
    <xf numFmtId="0" fontId="9" fillId="6" borderId="36" xfId="0" applyFont="1" applyFill="1" applyBorder="1"/>
    <xf numFmtId="0" fontId="9" fillId="2" borderId="34" xfId="0" applyFont="1" applyFill="1" applyBorder="1"/>
    <xf numFmtId="0" fontId="9" fillId="2" borderId="36" xfId="0" applyFont="1" applyFill="1" applyBorder="1"/>
    <xf numFmtId="0" fontId="9" fillId="7" borderId="34" xfId="0" applyFont="1" applyFill="1" applyBorder="1"/>
    <xf numFmtId="0" fontId="9" fillId="7" borderId="36" xfId="0" applyFont="1" applyFill="1" applyBorder="1"/>
    <xf numFmtId="0" fontId="9" fillId="8" borderId="34" xfId="0" applyFont="1" applyFill="1" applyBorder="1"/>
    <xf numFmtId="0" fontId="9" fillId="8" borderId="36" xfId="0" applyFont="1" applyFill="1" applyBorder="1"/>
    <xf numFmtId="0" fontId="5" fillId="10" borderId="10" xfId="0" applyFont="1" applyFill="1" applyBorder="1" applyAlignment="1">
      <alignment wrapText="1"/>
    </xf>
    <xf numFmtId="2" fontId="5" fillId="10" borderId="10" xfId="0" applyNumberFormat="1" applyFont="1" applyFill="1" applyBorder="1" applyAlignment="1">
      <alignment wrapText="1"/>
    </xf>
    <xf numFmtId="0" fontId="5" fillId="10" borderId="17" xfId="0" applyFont="1" applyFill="1" applyBorder="1" applyAlignment="1">
      <alignment wrapText="1"/>
    </xf>
    <xf numFmtId="2" fontId="5" fillId="10" borderId="0" xfId="0" applyNumberFormat="1" applyFont="1" applyFill="1" applyAlignment="1">
      <alignment wrapText="1"/>
    </xf>
    <xf numFmtId="0" fontId="9" fillId="10" borderId="6" xfId="0" applyFont="1" applyFill="1" applyBorder="1"/>
    <xf numFmtId="0" fontId="9" fillId="10" borderId="14" xfId="0" applyFont="1" applyFill="1" applyBorder="1"/>
    <xf numFmtId="0" fontId="5" fillId="10" borderId="19" xfId="0" applyFont="1" applyFill="1" applyBorder="1"/>
    <xf numFmtId="0" fontId="5" fillId="10" borderId="20" xfId="0" applyFont="1" applyFill="1" applyBorder="1" applyAlignment="1">
      <alignment wrapText="1"/>
    </xf>
    <xf numFmtId="0" fontId="5" fillId="10" borderId="20" xfId="0" applyFont="1" applyFill="1" applyBorder="1"/>
    <xf numFmtId="2" fontId="5" fillId="10" borderId="20" xfId="0" applyNumberFormat="1" applyFont="1" applyFill="1" applyBorder="1"/>
    <xf numFmtId="2" fontId="5" fillId="10" borderId="20" xfId="0" applyNumberFormat="1" applyFont="1" applyFill="1" applyBorder="1" applyAlignment="1">
      <alignment wrapText="1"/>
    </xf>
    <xf numFmtId="2" fontId="5" fillId="10" borderId="24" xfId="0" applyNumberFormat="1" applyFont="1" applyFill="1" applyBorder="1"/>
    <xf numFmtId="0" fontId="9" fillId="10" borderId="19" xfId="0" applyFont="1" applyFill="1" applyBorder="1"/>
    <xf numFmtId="0" fontId="9" fillId="10" borderId="11" xfId="0" applyFont="1" applyFill="1" applyBorder="1"/>
    <xf numFmtId="0" fontId="9" fillId="10" borderId="24" xfId="0" applyFont="1" applyFill="1" applyBorder="1"/>
    <xf numFmtId="0" fontId="5" fillId="10" borderId="2" xfId="0" applyFont="1" applyFill="1" applyBorder="1"/>
    <xf numFmtId="0" fontId="5" fillId="10" borderId="2" xfId="0" applyFont="1" applyFill="1" applyBorder="1" applyAlignment="1">
      <alignment wrapText="1"/>
    </xf>
    <xf numFmtId="2" fontId="5" fillId="10" borderId="2" xfId="0" applyNumberFormat="1" applyFont="1" applyFill="1" applyBorder="1"/>
    <xf numFmtId="2" fontId="5" fillId="10" borderId="2" xfId="0" applyNumberFormat="1" applyFont="1" applyFill="1" applyBorder="1" applyAlignment="1">
      <alignment wrapText="1"/>
    </xf>
    <xf numFmtId="2" fontId="5" fillId="10" borderId="0" xfId="0" applyNumberFormat="1" applyFont="1" applyFill="1"/>
    <xf numFmtId="0" fontId="9" fillId="10" borderId="37" xfId="0" applyFont="1" applyFill="1" applyBorder="1" applyAlignment="1"/>
    <xf numFmtId="2" fontId="9" fillId="10" borderId="38" xfId="0" applyNumberFormat="1" applyFont="1" applyFill="1" applyBorder="1"/>
    <xf numFmtId="0" fontId="9" fillId="10" borderId="49" xfId="0" applyFont="1" applyFill="1" applyBorder="1"/>
    <xf numFmtId="0" fontId="9" fillId="10" borderId="50" xfId="0" applyFont="1" applyFill="1" applyBorder="1"/>
    <xf numFmtId="0" fontId="9" fillId="10" borderId="9" xfId="0" applyFont="1" applyFill="1" applyBorder="1" applyAlignment="1">
      <alignment horizontal="center"/>
    </xf>
    <xf numFmtId="2" fontId="9" fillId="10" borderId="17" xfId="0" applyNumberFormat="1" applyFont="1" applyFill="1" applyBorder="1"/>
    <xf numFmtId="2" fontId="5" fillId="10" borderId="6" xfId="0" applyNumberFormat="1" applyFont="1" applyFill="1" applyBorder="1"/>
    <xf numFmtId="0" fontId="9" fillId="10" borderId="3" xfId="0" applyFont="1" applyFill="1" applyBorder="1"/>
    <xf numFmtId="0" fontId="9" fillId="10" borderId="47" xfId="0" applyFont="1" applyFill="1" applyBorder="1"/>
    <xf numFmtId="2" fontId="9" fillId="10" borderId="48" xfId="0" applyNumberFormat="1" applyFont="1" applyFill="1" applyBorder="1"/>
    <xf numFmtId="2" fontId="5" fillId="10" borderId="3" xfId="0" applyNumberFormat="1" applyFont="1" applyFill="1" applyBorder="1"/>
    <xf numFmtId="2" fontId="5" fillId="10" borderId="34" xfId="0" applyNumberFormat="1" applyFont="1" applyFill="1" applyBorder="1"/>
    <xf numFmtId="2" fontId="5" fillId="10" borderId="10" xfId="0" applyNumberFormat="1" applyFont="1" applyFill="1" applyBorder="1"/>
    <xf numFmtId="2" fontId="5" fillId="10" borderId="17" xfId="0" applyNumberFormat="1" applyFont="1" applyFill="1" applyBorder="1"/>
    <xf numFmtId="2" fontId="9" fillId="10" borderId="6" xfId="0" applyNumberFormat="1" applyFont="1" applyFill="1" applyBorder="1"/>
    <xf numFmtId="2" fontId="13" fillId="10" borderId="18" xfId="0" applyNumberFormat="1" applyFont="1" applyFill="1" applyBorder="1"/>
    <xf numFmtId="2" fontId="5" fillId="10" borderId="54" xfId="0" applyNumberFormat="1" applyFont="1" applyFill="1" applyBorder="1"/>
    <xf numFmtId="2" fontId="5" fillId="10" borderId="53" xfId="0" applyNumberFormat="1" applyFont="1" applyFill="1" applyBorder="1"/>
    <xf numFmtId="2" fontId="5" fillId="10" borderId="2" xfId="0" applyNumberFormat="1" applyFont="1" applyFill="1" applyBorder="1" applyAlignment="1"/>
    <xf numFmtId="2" fontId="5" fillId="10" borderId="7" xfId="0" applyNumberFormat="1" applyFont="1" applyFill="1" applyBorder="1"/>
    <xf numFmtId="2" fontId="9" fillId="10" borderId="2" xfId="0" applyNumberFormat="1" applyFont="1" applyFill="1" applyBorder="1"/>
    <xf numFmtId="2" fontId="13" fillId="10" borderId="3" xfId="0" applyNumberFormat="1" applyFont="1" applyFill="1" applyBorder="1"/>
    <xf numFmtId="2" fontId="5" fillId="10" borderId="49" xfId="0" applyNumberFormat="1" applyFont="1" applyFill="1" applyBorder="1"/>
    <xf numFmtId="2" fontId="5" fillId="10" borderId="50" xfId="0" applyNumberFormat="1" applyFont="1" applyFill="1" applyBorder="1"/>
    <xf numFmtId="2" fontId="5" fillId="10" borderId="28" xfId="0" applyNumberFormat="1" applyFont="1" applyFill="1" applyBorder="1"/>
    <xf numFmtId="0" fontId="5" fillId="10" borderId="6" xfId="0" applyFont="1" applyFill="1" applyBorder="1"/>
    <xf numFmtId="0" fontId="5" fillId="10" borderId="6" xfId="0" applyFont="1" applyFill="1" applyBorder="1" applyAlignment="1">
      <alignment wrapText="1"/>
    </xf>
    <xf numFmtId="2" fontId="5" fillId="10" borderId="6" xfId="0" applyNumberFormat="1" applyFont="1" applyFill="1" applyBorder="1" applyAlignment="1"/>
    <xf numFmtId="2" fontId="5" fillId="10" borderId="6" xfId="0" applyNumberFormat="1" applyFont="1" applyFill="1" applyBorder="1" applyAlignment="1">
      <alignment wrapText="1"/>
    </xf>
    <xf numFmtId="0" fontId="9" fillId="10" borderId="37" xfId="0" applyFont="1" applyFill="1" applyBorder="1"/>
    <xf numFmtId="0" fontId="9" fillId="10" borderId="38" xfId="0" applyFont="1" applyFill="1" applyBorder="1"/>
    <xf numFmtId="0" fontId="9" fillId="10" borderId="2" xfId="0" applyFont="1" applyFill="1" applyBorder="1"/>
    <xf numFmtId="0" fontId="5" fillId="10" borderId="54" xfId="0" applyFont="1" applyFill="1" applyBorder="1"/>
    <xf numFmtId="0" fontId="5" fillId="10" borderId="16" xfId="0" applyFont="1" applyFill="1" applyBorder="1" applyAlignment="1">
      <alignment wrapText="1"/>
    </xf>
    <xf numFmtId="0" fontId="5" fillId="10" borderId="16" xfId="0" applyFont="1" applyFill="1" applyBorder="1"/>
    <xf numFmtId="2" fontId="5" fillId="10" borderId="16" xfId="0" applyNumberFormat="1" applyFont="1" applyFill="1" applyBorder="1"/>
    <xf numFmtId="2" fontId="9" fillId="10" borderId="69" xfId="0" applyNumberFormat="1" applyFont="1" applyFill="1" applyBorder="1"/>
    <xf numFmtId="0" fontId="5" fillId="10" borderId="46" xfId="0" applyFont="1" applyFill="1" applyBorder="1"/>
    <xf numFmtId="0" fontId="5" fillId="10" borderId="53" xfId="0" applyFont="1" applyFill="1" applyBorder="1"/>
    <xf numFmtId="2" fontId="10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2" fontId="10" fillId="9" borderId="6" xfId="0" applyNumberFormat="1" applyFont="1" applyFill="1" applyBorder="1" applyAlignment="1">
      <alignment horizontal="center"/>
    </xf>
    <xf numFmtId="2" fontId="5" fillId="10" borderId="6" xfId="0" applyNumberFormat="1" applyFont="1" applyFill="1" applyBorder="1" applyAlignment="1">
      <alignment horizontal="center"/>
    </xf>
    <xf numFmtId="2" fontId="5" fillId="10" borderId="14" xfId="0" applyNumberFormat="1" applyFont="1" applyFill="1" applyBorder="1"/>
    <xf numFmtId="2" fontId="10" fillId="9" borderId="26" xfId="0" applyNumberFormat="1" applyFont="1" applyFill="1" applyBorder="1" applyAlignment="1">
      <alignment horizontal="center"/>
    </xf>
    <xf numFmtId="2" fontId="5" fillId="10" borderId="27" xfId="0" applyNumberFormat="1" applyFont="1" applyFill="1" applyBorder="1"/>
    <xf numFmtId="2" fontId="5" fillId="10" borderId="2" xfId="0" applyNumberFormat="1" applyFont="1" applyFill="1" applyBorder="1" applyAlignment="1">
      <alignment horizontal="center"/>
    </xf>
    <xf numFmtId="2" fontId="5" fillId="12" borderId="16" xfId="0" applyNumberFormat="1" applyFont="1" applyFill="1" applyBorder="1" applyAlignment="1">
      <alignment wrapText="1"/>
    </xf>
    <xf numFmtId="0" fontId="5" fillId="12" borderId="18" xfId="0" applyFont="1" applyFill="1" applyBorder="1" applyAlignment="1">
      <alignment wrapText="1"/>
    </xf>
    <xf numFmtId="0" fontId="10" fillId="12" borderId="16" xfId="0" applyFont="1" applyFill="1" applyBorder="1" applyAlignment="1"/>
    <xf numFmtId="2" fontId="10" fillId="12" borderId="27" xfId="0" applyNumberFormat="1" applyFont="1" applyFill="1" applyBorder="1"/>
    <xf numFmtId="0" fontId="9" fillId="12" borderId="53" xfId="0" applyFont="1" applyFill="1" applyBorder="1"/>
    <xf numFmtId="0" fontId="9" fillId="12" borderId="54" xfId="0" applyFont="1" applyFill="1" applyBorder="1"/>
    <xf numFmtId="0" fontId="5" fillId="12" borderId="2" xfId="0" applyFont="1" applyFill="1" applyBorder="1"/>
    <xf numFmtId="0" fontId="5" fillId="12" borderId="2" xfId="0" applyFont="1" applyFill="1" applyBorder="1" applyAlignment="1">
      <alignment wrapText="1"/>
    </xf>
    <xf numFmtId="2" fontId="5" fillId="12" borderId="2" xfId="0" applyNumberFormat="1" applyFont="1" applyFill="1" applyBorder="1"/>
    <xf numFmtId="0" fontId="9" fillId="12" borderId="2" xfId="0" applyFont="1" applyFill="1" applyBorder="1"/>
    <xf numFmtId="0" fontId="12" fillId="12" borderId="2" xfId="0" applyFont="1" applyFill="1" applyBorder="1" applyAlignment="1">
      <alignment wrapText="1"/>
    </xf>
    <xf numFmtId="0" fontId="12" fillId="12" borderId="2" xfId="0" applyFont="1" applyFill="1" applyBorder="1"/>
    <xf numFmtId="2" fontId="12" fillId="12" borderId="2" xfId="0" applyNumberFormat="1" applyFont="1" applyFill="1" applyBorder="1"/>
    <xf numFmtId="2" fontId="5" fillId="12" borderId="2" xfId="0" applyNumberFormat="1" applyFont="1" applyFill="1" applyBorder="1" applyAlignment="1">
      <alignment horizontal="center"/>
    </xf>
    <xf numFmtId="0" fontId="9" fillId="12" borderId="2" xfId="0" applyFont="1" applyFill="1" applyBorder="1" applyAlignment="1"/>
    <xf numFmtId="0" fontId="12" fillId="12" borderId="28" xfId="0" applyFont="1" applyFill="1" applyBorder="1"/>
    <xf numFmtId="0" fontId="12" fillId="12" borderId="29" xfId="0" applyFont="1" applyFill="1" applyBorder="1" applyAlignment="1">
      <alignment wrapText="1"/>
    </xf>
    <xf numFmtId="0" fontId="12" fillId="12" borderId="29" xfId="0" applyFont="1" applyFill="1" applyBorder="1"/>
    <xf numFmtId="2" fontId="12" fillId="12" borderId="29" xfId="0" applyNumberFormat="1" applyFont="1" applyFill="1" applyBorder="1"/>
    <xf numFmtId="2" fontId="5" fillId="12" borderId="29" xfId="0" applyNumberFormat="1" applyFont="1" applyFill="1" applyBorder="1"/>
    <xf numFmtId="2" fontId="5" fillId="12" borderId="30" xfId="0" applyNumberFormat="1" applyFont="1" applyFill="1" applyBorder="1"/>
    <xf numFmtId="2" fontId="5" fillId="12" borderId="41" xfId="0" applyNumberFormat="1" applyFont="1" applyFill="1" applyBorder="1"/>
    <xf numFmtId="0" fontId="9" fillId="12" borderId="7" xfId="0" applyFont="1" applyFill="1" applyBorder="1"/>
    <xf numFmtId="0" fontId="12" fillId="12" borderId="9" xfId="0" applyFont="1" applyFill="1" applyBorder="1"/>
    <xf numFmtId="0" fontId="12" fillId="12" borderId="10" xfId="0" applyFont="1" applyFill="1" applyBorder="1" applyAlignment="1">
      <alignment wrapText="1"/>
    </xf>
    <xf numFmtId="0" fontId="12" fillId="12" borderId="10" xfId="0" applyFont="1" applyFill="1" applyBorder="1"/>
    <xf numFmtId="2" fontId="12" fillId="12" borderId="10" xfId="0" applyNumberFormat="1" applyFont="1" applyFill="1" applyBorder="1"/>
    <xf numFmtId="2" fontId="5" fillId="12" borderId="10" xfId="0" applyNumberFormat="1" applyFont="1" applyFill="1" applyBorder="1"/>
    <xf numFmtId="2" fontId="5" fillId="12" borderId="17" xfId="0" applyNumberFormat="1" applyFont="1" applyFill="1" applyBorder="1"/>
    <xf numFmtId="0" fontId="5" fillId="11" borderId="10" xfId="0" applyFont="1" applyFill="1" applyBorder="1" applyAlignment="1">
      <alignment wrapText="1"/>
    </xf>
    <xf numFmtId="2" fontId="5" fillId="11" borderId="10" xfId="0" applyNumberFormat="1" applyFont="1" applyFill="1" applyBorder="1" applyAlignment="1">
      <alignment wrapText="1"/>
    </xf>
    <xf numFmtId="0" fontId="5" fillId="11" borderId="17" xfId="0" applyFont="1" applyFill="1" applyBorder="1" applyAlignment="1">
      <alignment wrapText="1"/>
    </xf>
    <xf numFmtId="2" fontId="5" fillId="11" borderId="33" xfId="0" applyNumberFormat="1" applyFont="1" applyFill="1" applyBorder="1" applyAlignment="1"/>
    <xf numFmtId="0" fontId="5" fillId="11" borderId="47" xfId="0" applyFont="1" applyFill="1" applyBorder="1"/>
    <xf numFmtId="0" fontId="5" fillId="11" borderId="7" xfId="0" applyFont="1" applyFill="1" applyBorder="1" applyAlignment="1">
      <alignment wrapText="1"/>
    </xf>
    <xf numFmtId="0" fontId="5" fillId="11" borderId="7" xfId="0" applyFont="1" applyFill="1" applyBorder="1"/>
    <xf numFmtId="2" fontId="5" fillId="11" borderId="7" xfId="0" applyNumberFormat="1" applyFont="1" applyFill="1" applyBorder="1"/>
    <xf numFmtId="0" fontId="9" fillId="11" borderId="7" xfId="0" applyFont="1" applyFill="1" applyBorder="1"/>
    <xf numFmtId="0" fontId="9" fillId="11" borderId="48" xfId="0" applyFont="1" applyFill="1" applyBorder="1"/>
    <xf numFmtId="0" fontId="5" fillId="11" borderId="49" xfId="0" applyFont="1" applyFill="1" applyBorder="1"/>
    <xf numFmtId="0" fontId="5" fillId="11" borderId="2" xfId="0" applyFont="1" applyFill="1" applyBorder="1" applyAlignment="1">
      <alignment wrapText="1"/>
    </xf>
    <xf numFmtId="0" fontId="5" fillId="11" borderId="2" xfId="0" applyFont="1" applyFill="1" applyBorder="1"/>
    <xf numFmtId="2" fontId="5" fillId="11" borderId="2" xfId="0" applyNumberFormat="1" applyFont="1" applyFill="1" applyBorder="1"/>
    <xf numFmtId="0" fontId="9" fillId="11" borderId="2" xfId="0" applyFont="1" applyFill="1" applyBorder="1"/>
    <xf numFmtId="0" fontId="9" fillId="11" borderId="50" xfId="0" applyFont="1" applyFill="1" applyBorder="1"/>
    <xf numFmtId="0" fontId="11" fillId="11" borderId="49" xfId="0" applyFont="1" applyFill="1" applyBorder="1"/>
    <xf numFmtId="0" fontId="11" fillId="11" borderId="2" xfId="0" applyFont="1" applyFill="1" applyBorder="1"/>
    <xf numFmtId="2" fontId="11" fillId="11" borderId="2" xfId="0" applyNumberFormat="1" applyFont="1" applyFill="1" applyBorder="1"/>
    <xf numFmtId="0" fontId="22" fillId="11" borderId="2" xfId="0" applyFont="1" applyFill="1" applyBorder="1"/>
    <xf numFmtId="2" fontId="5" fillId="11" borderId="47" xfId="0" applyNumberFormat="1" applyFont="1" applyFill="1" applyBorder="1"/>
    <xf numFmtId="0" fontId="5" fillId="11" borderId="16" xfId="0" applyFont="1" applyFill="1" applyBorder="1" applyAlignment="1">
      <alignment wrapText="1"/>
    </xf>
    <xf numFmtId="0" fontId="5" fillId="11" borderId="16" xfId="0" applyFont="1" applyFill="1" applyBorder="1"/>
    <xf numFmtId="2" fontId="5" fillId="11" borderId="16" xfId="0" applyNumberFormat="1" applyFont="1" applyFill="1" applyBorder="1"/>
    <xf numFmtId="2" fontId="5" fillId="11" borderId="18" xfId="0" applyNumberFormat="1" applyFont="1" applyFill="1" applyBorder="1"/>
    <xf numFmtId="0" fontId="9" fillId="11" borderId="60" xfId="0" applyFont="1" applyFill="1" applyBorder="1"/>
    <xf numFmtId="0" fontId="9" fillId="11" borderId="55" xfId="0" applyFont="1" applyFill="1" applyBorder="1"/>
    <xf numFmtId="0" fontId="9" fillId="11" borderId="21" xfId="0" applyFont="1" applyFill="1" applyBorder="1"/>
    <xf numFmtId="0" fontId="9" fillId="11" borderId="23" xfId="0" applyFont="1" applyFill="1" applyBorder="1"/>
    <xf numFmtId="0" fontId="5" fillId="11" borderId="37" xfId="0" applyFont="1" applyFill="1" applyBorder="1"/>
    <xf numFmtId="0" fontId="5" fillId="11" borderId="6" xfId="0" applyFont="1" applyFill="1" applyBorder="1" applyAlignment="1">
      <alignment wrapText="1"/>
    </xf>
    <xf numFmtId="0" fontId="5" fillId="11" borderId="6" xfId="0" applyFont="1" applyFill="1" applyBorder="1"/>
    <xf numFmtId="2" fontId="5" fillId="11" borderId="6" xfId="0" applyNumberFormat="1" applyFont="1" applyFill="1" applyBorder="1"/>
    <xf numFmtId="2" fontId="5" fillId="11" borderId="14" xfId="0" applyNumberFormat="1" applyFont="1" applyFill="1" applyBorder="1"/>
    <xf numFmtId="2" fontId="13" fillId="11" borderId="25" xfId="0" applyNumberFormat="1" applyFont="1" applyFill="1" applyBorder="1"/>
    <xf numFmtId="2" fontId="13" fillId="11" borderId="61" xfId="0" applyNumberFormat="1" applyFont="1" applyFill="1" applyBorder="1"/>
    <xf numFmtId="2" fontId="13" fillId="11" borderId="63" xfId="0" applyNumberFormat="1" applyFont="1" applyFill="1" applyBorder="1"/>
    <xf numFmtId="2" fontId="5" fillId="11" borderId="64" xfId="0" applyNumberFormat="1" applyFont="1" applyFill="1" applyBorder="1"/>
    <xf numFmtId="2" fontId="5" fillId="11" borderId="59" xfId="0" applyNumberFormat="1" applyFont="1" applyFill="1" applyBorder="1"/>
    <xf numFmtId="2" fontId="13" fillId="11" borderId="8" xfId="0" applyNumberFormat="1" applyFont="1" applyFill="1" applyBorder="1"/>
    <xf numFmtId="2" fontId="13" fillId="11" borderId="62" xfId="0" applyNumberFormat="1" applyFont="1" applyFill="1" applyBorder="1"/>
    <xf numFmtId="2" fontId="5" fillId="11" borderId="48" xfId="0" applyNumberFormat="1" applyFont="1" applyFill="1" applyBorder="1"/>
    <xf numFmtId="2" fontId="5" fillId="11" borderId="9" xfId="0" applyNumberFormat="1" applyFont="1" applyFill="1" applyBorder="1"/>
    <xf numFmtId="0" fontId="9" fillId="11" borderId="5" xfId="0" applyFont="1" applyFill="1" applyBorder="1"/>
    <xf numFmtId="0" fontId="9" fillId="11" borderId="49" xfId="0" applyFont="1" applyFill="1" applyBorder="1"/>
    <xf numFmtId="2" fontId="13" fillId="11" borderId="65" xfId="0" applyNumberFormat="1" applyFont="1" applyFill="1" applyBorder="1"/>
    <xf numFmtId="2" fontId="5" fillId="11" borderId="66" xfId="0" applyNumberFormat="1" applyFont="1" applyFill="1" applyBorder="1"/>
    <xf numFmtId="2" fontId="5" fillId="11" borderId="43" xfId="0" applyNumberFormat="1" applyFont="1" applyFill="1" applyBorder="1"/>
    <xf numFmtId="0" fontId="9" fillId="11" borderId="6" xfId="0" applyFont="1" applyFill="1" applyBorder="1" applyAlignment="1">
      <alignment horizontal="right" wrapText="1"/>
    </xf>
    <xf numFmtId="0" fontId="14" fillId="11" borderId="3" xfId="0" applyFont="1" applyFill="1" applyBorder="1"/>
    <xf numFmtId="2" fontId="20" fillId="11" borderId="2" xfId="0" applyNumberFormat="1" applyFont="1" applyFill="1" applyBorder="1"/>
    <xf numFmtId="0" fontId="13" fillId="11" borderId="2" xfId="0" applyFont="1" applyFill="1" applyBorder="1"/>
    <xf numFmtId="0" fontId="5" fillId="11" borderId="21" xfId="0" applyFont="1" applyFill="1" applyBorder="1"/>
    <xf numFmtId="0" fontId="9" fillId="11" borderId="22" xfId="0" applyFont="1" applyFill="1" applyBorder="1" applyAlignment="1">
      <alignment horizontal="right" wrapText="1"/>
    </xf>
    <xf numFmtId="0" fontId="5" fillId="11" borderId="22" xfId="0" applyFont="1" applyFill="1" applyBorder="1"/>
    <xf numFmtId="2" fontId="5" fillId="11" borderId="22" xfId="0" applyNumberFormat="1" applyFont="1" applyFill="1" applyBorder="1"/>
    <xf numFmtId="2" fontId="5" fillId="11" borderId="55" xfId="0" applyNumberFormat="1" applyFont="1" applyFill="1" applyBorder="1"/>
    <xf numFmtId="0" fontId="5" fillId="11" borderId="28" xfId="0" applyFont="1" applyFill="1" applyBorder="1"/>
    <xf numFmtId="0" fontId="5" fillId="11" borderId="29" xfId="0" applyFont="1" applyFill="1" applyBorder="1" applyAlignment="1">
      <alignment wrapText="1"/>
    </xf>
    <xf numFmtId="0" fontId="5" fillId="11" borderId="29" xfId="0" applyFont="1" applyFill="1" applyBorder="1"/>
    <xf numFmtId="2" fontId="5" fillId="11" borderId="29" xfId="0" applyNumberFormat="1" applyFont="1" applyFill="1" applyBorder="1"/>
    <xf numFmtId="2" fontId="5" fillId="11" borderId="40" xfId="0" applyNumberFormat="1" applyFont="1" applyFill="1" applyBorder="1"/>
    <xf numFmtId="0" fontId="9" fillId="11" borderId="32" xfId="0" applyFont="1" applyFill="1" applyBorder="1"/>
    <xf numFmtId="2" fontId="9" fillId="11" borderId="17" xfId="0" applyNumberFormat="1" applyFont="1" applyFill="1" applyBorder="1"/>
    <xf numFmtId="2" fontId="9" fillId="11" borderId="9" xfId="0" applyNumberFormat="1" applyFont="1" applyFill="1" applyBorder="1"/>
    <xf numFmtId="0" fontId="9" fillId="11" borderId="9" xfId="0" applyFont="1" applyFill="1" applyBorder="1"/>
    <xf numFmtId="0" fontId="12" fillId="11" borderId="9" xfId="0" applyFont="1" applyFill="1" applyBorder="1"/>
    <xf numFmtId="0" fontId="12" fillId="11" borderId="10" xfId="0" applyFont="1" applyFill="1" applyBorder="1" applyAlignment="1">
      <alignment wrapText="1"/>
    </xf>
    <xf numFmtId="0" fontId="12" fillId="11" borderId="35" xfId="0" applyFont="1" applyFill="1" applyBorder="1"/>
    <xf numFmtId="2" fontId="12" fillId="11" borderId="35" xfId="0" applyNumberFormat="1" applyFont="1" applyFill="1" applyBorder="1"/>
    <xf numFmtId="2" fontId="5" fillId="11" borderId="35" xfId="0" applyNumberFormat="1" applyFont="1" applyFill="1" applyBorder="1"/>
    <xf numFmtId="2" fontId="5" fillId="11" borderId="67" xfId="0" applyNumberFormat="1" applyFont="1" applyFill="1" applyBorder="1"/>
    <xf numFmtId="2" fontId="9" fillId="11" borderId="67" xfId="0" applyNumberFormat="1" applyFont="1" applyFill="1" applyBorder="1"/>
    <xf numFmtId="2" fontId="9" fillId="11" borderId="42" xfId="0" applyNumberFormat="1" applyFont="1" applyFill="1" applyBorder="1"/>
    <xf numFmtId="2" fontId="9" fillId="11" borderId="34" xfId="0" applyNumberFormat="1" applyFont="1" applyFill="1" applyBorder="1"/>
    <xf numFmtId="2" fontId="9" fillId="11" borderId="36" xfId="0" applyNumberFormat="1" applyFont="1" applyFill="1" applyBorder="1"/>
    <xf numFmtId="0" fontId="12" fillId="11" borderId="2" xfId="0" applyFont="1" applyFill="1" applyBorder="1"/>
    <xf numFmtId="2" fontId="12" fillId="11" borderId="2" xfId="0" applyNumberFormat="1" applyFont="1" applyFill="1" applyBorder="1"/>
    <xf numFmtId="2" fontId="5" fillId="11" borderId="3" xfId="0" applyNumberFormat="1" applyFont="1" applyFill="1" applyBorder="1"/>
    <xf numFmtId="2" fontId="9" fillId="11" borderId="5" xfId="0" applyNumberFormat="1" applyFont="1" applyFill="1" applyBorder="1"/>
    <xf numFmtId="2" fontId="9" fillId="11" borderId="2" xfId="0" applyNumberFormat="1" applyFont="1" applyFill="1" applyBorder="1"/>
    <xf numFmtId="2" fontId="9" fillId="11" borderId="26" xfId="0" applyNumberFormat="1" applyFont="1" applyFill="1" applyBorder="1"/>
    <xf numFmtId="2" fontId="9" fillId="11" borderId="6" xfId="0" applyNumberFormat="1" applyFont="1" applyFill="1" applyBorder="1"/>
    <xf numFmtId="0" fontId="5" fillId="13" borderId="10" xfId="0" applyFont="1" applyFill="1" applyBorder="1" applyAlignment="1">
      <alignment wrapText="1"/>
    </xf>
    <xf numFmtId="0" fontId="5" fillId="13" borderId="29" xfId="0" applyFont="1" applyFill="1" applyBorder="1" applyAlignment="1">
      <alignment wrapText="1"/>
    </xf>
    <xf numFmtId="2" fontId="5" fillId="13" borderId="29" xfId="0" applyNumberFormat="1" applyFont="1" applyFill="1" applyBorder="1" applyAlignment="1">
      <alignment wrapText="1"/>
    </xf>
    <xf numFmtId="0" fontId="5" fillId="13" borderId="30" xfId="0" applyFont="1" applyFill="1" applyBorder="1" applyAlignment="1">
      <alignment wrapText="1"/>
    </xf>
    <xf numFmtId="2" fontId="5" fillId="13" borderId="0" xfId="0" applyNumberFormat="1" applyFont="1" applyFill="1" applyAlignment="1"/>
    <xf numFmtId="0" fontId="9" fillId="5" borderId="0" xfId="0" applyFont="1" applyFill="1" applyBorder="1"/>
    <xf numFmtId="0" fontId="5" fillId="13" borderId="7" xfId="0" applyFont="1" applyFill="1" applyBorder="1"/>
    <xf numFmtId="0" fontId="5" fillId="13" borderId="7" xfId="0" applyFont="1" applyFill="1" applyBorder="1" applyAlignment="1">
      <alignment wrapText="1"/>
    </xf>
    <xf numFmtId="2" fontId="5" fillId="13" borderId="7" xfId="0" applyNumberFormat="1" applyFont="1" applyFill="1" applyBorder="1"/>
    <xf numFmtId="2" fontId="5" fillId="13" borderId="0" xfId="0" applyNumberFormat="1" applyFont="1" applyFill="1"/>
    <xf numFmtId="0" fontId="5" fillId="13" borderId="2" xfId="0" applyFont="1" applyFill="1" applyBorder="1"/>
    <xf numFmtId="0" fontId="5" fillId="13" borderId="2" xfId="0" applyFont="1" applyFill="1" applyBorder="1" applyAlignment="1">
      <alignment wrapText="1"/>
    </xf>
    <xf numFmtId="2" fontId="5" fillId="13" borderId="2" xfId="0" applyNumberFormat="1" applyFont="1" applyFill="1" applyBorder="1"/>
    <xf numFmtId="0" fontId="5" fillId="13" borderId="6" xfId="0" applyFont="1" applyFill="1" applyBorder="1"/>
    <xf numFmtId="0" fontId="5" fillId="13" borderId="6" xfId="0" applyFont="1" applyFill="1" applyBorder="1" applyAlignment="1">
      <alignment wrapText="1"/>
    </xf>
    <xf numFmtId="2" fontId="5" fillId="13" borderId="6" xfId="0" applyNumberFormat="1" applyFont="1" applyFill="1" applyBorder="1"/>
    <xf numFmtId="0" fontId="9" fillId="13" borderId="6" xfId="0" applyFont="1" applyFill="1" applyBorder="1" applyAlignment="1">
      <alignment horizontal="right" wrapText="1"/>
    </xf>
    <xf numFmtId="0" fontId="21" fillId="13" borderId="5" xfId="0" applyFont="1" applyFill="1" applyBorder="1"/>
    <xf numFmtId="2" fontId="5" fillId="13" borderId="20" xfId="0" applyNumberFormat="1" applyFont="1" applyFill="1" applyBorder="1" applyAlignment="1">
      <alignment wrapText="1"/>
    </xf>
    <xf numFmtId="2" fontId="5" fillId="13" borderId="16" xfId="0" applyNumberFormat="1" applyFont="1" applyFill="1" applyBorder="1" applyAlignment="1">
      <alignment wrapText="1"/>
    </xf>
    <xf numFmtId="2" fontId="5" fillId="13" borderId="3" xfId="0" applyNumberFormat="1" applyFont="1" applyFill="1" applyBorder="1"/>
    <xf numFmtId="0" fontId="5" fillId="13" borderId="9" xfId="0" applyFont="1" applyFill="1" applyBorder="1"/>
    <xf numFmtId="0" fontId="5" fillId="13" borderId="10" xfId="0" applyFont="1" applyFill="1" applyBorder="1"/>
    <xf numFmtId="2" fontId="5" fillId="13" borderId="10" xfId="0" applyNumberFormat="1" applyFont="1" applyFill="1" applyBorder="1"/>
    <xf numFmtId="2" fontId="5" fillId="13" borderId="13" xfId="0" applyNumberFormat="1" applyFont="1" applyFill="1" applyBorder="1"/>
    <xf numFmtId="2" fontId="5" fillId="13" borderId="0" xfId="0" applyNumberFormat="1" applyFont="1" applyFill="1" applyBorder="1"/>
    <xf numFmtId="0" fontId="5" fillId="13" borderId="10" xfId="0" applyFont="1" applyFill="1" applyBorder="1" applyAlignment="1">
      <alignment horizontal="left" wrapText="1"/>
    </xf>
    <xf numFmtId="2" fontId="5" fillId="13" borderId="10" xfId="0" applyNumberFormat="1" applyFont="1" applyFill="1" applyBorder="1" applyAlignment="1">
      <alignment horizontal="left"/>
    </xf>
    <xf numFmtId="2" fontId="5" fillId="13" borderId="17" xfId="0" applyNumberFormat="1" applyFont="1" applyFill="1" applyBorder="1"/>
    <xf numFmtId="0" fontId="5" fillId="13" borderId="28" xfId="0" applyFont="1" applyFill="1" applyBorder="1" applyAlignment="1">
      <alignment horizontal="center"/>
    </xf>
    <xf numFmtId="2" fontId="10" fillId="15" borderId="0" xfId="0" applyNumberFormat="1" applyFont="1" applyFill="1" applyBorder="1"/>
    <xf numFmtId="0" fontId="5" fillId="13" borderId="54" xfId="0" applyFont="1" applyFill="1" applyBorder="1" applyAlignment="1">
      <alignment horizontal="center"/>
    </xf>
    <xf numFmtId="0" fontId="5" fillId="13" borderId="35" xfId="0" applyFont="1" applyFill="1" applyBorder="1" applyAlignment="1">
      <alignment horizontal="left" wrapText="1"/>
    </xf>
    <xf numFmtId="0" fontId="5" fillId="13" borderId="35" xfId="0" applyFont="1" applyFill="1" applyBorder="1"/>
    <xf numFmtId="2" fontId="5" fillId="13" borderId="35" xfId="0" applyNumberFormat="1" applyFont="1" applyFill="1" applyBorder="1"/>
    <xf numFmtId="2" fontId="5" fillId="13" borderId="35" xfId="0" applyNumberFormat="1" applyFont="1" applyFill="1" applyBorder="1" applyAlignment="1">
      <alignment horizontal="left"/>
    </xf>
    <xf numFmtId="0" fontId="5" fillId="13" borderId="28" xfId="0" applyFont="1" applyFill="1" applyBorder="1"/>
    <xf numFmtId="0" fontId="5" fillId="13" borderId="29" xfId="0" applyFont="1" applyFill="1" applyBorder="1" applyAlignment="1">
      <alignment horizontal="left" wrapText="1"/>
    </xf>
    <xf numFmtId="0" fontId="5" fillId="13" borderId="29" xfId="0" applyFont="1" applyFill="1" applyBorder="1"/>
    <xf numFmtId="2" fontId="5" fillId="13" borderId="29" xfId="0" applyNumberFormat="1" applyFont="1" applyFill="1" applyBorder="1"/>
    <xf numFmtId="2" fontId="5" fillId="13" borderId="29" xfId="0" applyNumberFormat="1" applyFont="1" applyFill="1" applyBorder="1" applyAlignment="1">
      <alignment horizontal="left"/>
    </xf>
    <xf numFmtId="2" fontId="5" fillId="13" borderId="30" xfId="0" applyNumberFormat="1" applyFont="1" applyFill="1" applyBorder="1"/>
    <xf numFmtId="0" fontId="5" fillId="2" borderId="10" xfId="0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wrapText="1"/>
    </xf>
    <xf numFmtId="2" fontId="5" fillId="2" borderId="7" xfId="0" applyNumberFormat="1" applyFont="1" applyFill="1" applyBorder="1"/>
    <xf numFmtId="0" fontId="5" fillId="2" borderId="2" xfId="0" applyFont="1" applyFill="1" applyBorder="1" applyAlignment="1">
      <alignment wrapText="1"/>
    </xf>
    <xf numFmtId="2" fontId="10" fillId="2" borderId="3" xfId="0" applyNumberFormat="1" applyFont="1" applyFill="1" applyBorder="1"/>
    <xf numFmtId="2" fontId="9" fillId="5" borderId="0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wrapText="1"/>
    </xf>
    <xf numFmtId="2" fontId="5" fillId="2" borderId="6" xfId="0" applyNumberFormat="1" applyFont="1" applyFill="1" applyBorder="1"/>
    <xf numFmtId="0" fontId="13" fillId="2" borderId="4" xfId="0" applyFont="1" applyFill="1" applyBorder="1"/>
    <xf numFmtId="2" fontId="5" fillId="5" borderId="0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2" fontId="5" fillId="2" borderId="10" xfId="0" applyNumberFormat="1" applyFont="1" applyFill="1" applyBorder="1"/>
    <xf numFmtId="0" fontId="5" fillId="2" borderId="13" xfId="0" applyFont="1" applyFill="1" applyBorder="1"/>
    <xf numFmtId="0" fontId="9" fillId="0" borderId="31" xfId="0" applyFont="1" applyBorder="1" applyAlignment="1">
      <alignment wrapText="1"/>
    </xf>
    <xf numFmtId="0" fontId="9" fillId="0" borderId="33" xfId="0" applyFont="1" applyBorder="1"/>
    <xf numFmtId="2" fontId="10" fillId="5" borderId="59" xfId="0" applyNumberFormat="1" applyFont="1" applyFill="1" applyBorder="1"/>
    <xf numFmtId="2" fontId="10" fillId="13" borderId="0" xfId="0" applyNumberFormat="1" applyFont="1" applyFill="1" applyBorder="1"/>
    <xf numFmtId="2" fontId="5" fillId="10" borderId="5" xfId="0" applyNumberFormat="1" applyFont="1" applyFill="1" applyBorder="1"/>
    <xf numFmtId="2" fontId="10" fillId="9" borderId="7" xfId="0" applyNumberFormat="1" applyFont="1" applyFill="1" applyBorder="1" applyAlignment="1">
      <alignment horizontal="center"/>
    </xf>
    <xf numFmtId="2" fontId="5" fillId="11" borderId="51" xfId="0" applyNumberFormat="1" applyFont="1" applyFill="1" applyBorder="1"/>
    <xf numFmtId="2" fontId="10" fillId="9" borderId="67" xfId="0" applyNumberFormat="1" applyFont="1" applyFill="1" applyBorder="1" applyAlignment="1">
      <alignment horizontal="center"/>
    </xf>
    <xf numFmtId="0" fontId="9" fillId="12" borderId="3" xfId="0" applyFont="1" applyFill="1" applyBorder="1"/>
    <xf numFmtId="0" fontId="9" fillId="12" borderId="5" xfId="0" applyFont="1" applyFill="1" applyBorder="1"/>
    <xf numFmtId="2" fontId="5" fillId="12" borderId="6" xfId="0" applyNumberFormat="1" applyFont="1" applyFill="1" applyBorder="1" applyAlignment="1">
      <alignment horizontal="center"/>
    </xf>
    <xf numFmtId="2" fontId="5" fillId="12" borderId="7" xfId="0" applyNumberFormat="1" applyFont="1" applyFill="1" applyBorder="1"/>
    <xf numFmtId="2" fontId="5" fillId="5" borderId="59" xfId="0" applyNumberFormat="1" applyFont="1" applyFill="1" applyBorder="1" applyAlignment="1">
      <alignment horizontal="center"/>
    </xf>
    <xf numFmtId="2" fontId="10" fillId="11" borderId="2" xfId="0" applyNumberFormat="1" applyFont="1" applyFill="1" applyBorder="1"/>
    <xf numFmtId="2" fontId="10" fillId="5" borderId="2" xfId="0" applyNumberFormat="1" applyFont="1" applyFill="1" applyBorder="1"/>
    <xf numFmtId="2" fontId="10" fillId="9" borderId="59" xfId="0" applyNumberFormat="1" applyFont="1" applyFill="1" applyBorder="1" applyAlignment="1">
      <alignment horizontal="center"/>
    </xf>
    <xf numFmtId="2" fontId="10" fillId="5" borderId="3" xfId="0" applyNumberFormat="1" applyFont="1" applyFill="1" applyBorder="1" applyAlignment="1">
      <alignment horizontal="center"/>
    </xf>
    <xf numFmtId="2" fontId="5" fillId="5" borderId="29" xfId="0" applyNumberFormat="1" applyFont="1" applyFill="1" applyBorder="1" applyAlignment="1">
      <alignment horizontal="left"/>
    </xf>
    <xf numFmtId="2" fontId="5" fillId="13" borderId="51" xfId="0" applyNumberFormat="1" applyFont="1" applyFill="1" applyBorder="1"/>
    <xf numFmtId="2" fontId="5" fillId="5" borderId="59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35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2" borderId="44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13" borderId="34" xfId="0" applyFont="1" applyFill="1" applyBorder="1" applyAlignment="1">
      <alignment horizontal="center"/>
    </xf>
    <xf numFmtId="0" fontId="5" fillId="13" borderId="54" xfId="0" applyFont="1" applyFill="1" applyBorder="1" applyAlignment="1">
      <alignment horizontal="center"/>
    </xf>
    <xf numFmtId="0" fontId="5" fillId="13" borderId="28" xfId="0" applyFont="1" applyFill="1" applyBorder="1" applyAlignment="1">
      <alignment horizontal="center"/>
    </xf>
    <xf numFmtId="0" fontId="9" fillId="11" borderId="40" xfId="0" applyFont="1" applyFill="1" applyBorder="1" applyAlignment="1">
      <alignment horizontal="center"/>
    </xf>
    <xf numFmtId="0" fontId="9" fillId="11" borderId="41" xfId="0" applyFont="1" applyFill="1" applyBorder="1" applyAlignment="1">
      <alignment horizontal="center"/>
    </xf>
    <xf numFmtId="0" fontId="9" fillId="11" borderId="58" xfId="0" applyFont="1" applyFill="1" applyBorder="1" applyAlignment="1">
      <alignment horizontal="center"/>
    </xf>
    <xf numFmtId="2" fontId="5" fillId="10" borderId="3" xfId="0" applyNumberFormat="1" applyFont="1" applyFill="1" applyBorder="1" applyAlignment="1">
      <alignment horizontal="center"/>
    </xf>
    <xf numFmtId="2" fontId="5" fillId="10" borderId="4" xfId="0" applyNumberFormat="1" applyFont="1" applyFill="1" applyBorder="1" applyAlignment="1">
      <alignment horizontal="center"/>
    </xf>
    <xf numFmtId="2" fontId="5" fillId="10" borderId="5" xfId="0" applyNumberFormat="1" applyFont="1" applyFill="1" applyBorder="1" applyAlignment="1">
      <alignment horizontal="center"/>
    </xf>
    <xf numFmtId="2" fontId="5" fillId="12" borderId="2" xfId="0" applyNumberFormat="1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5" fillId="8" borderId="44" xfId="0" applyFont="1" applyFill="1" applyBorder="1" applyAlignment="1">
      <alignment horizontal="center"/>
    </xf>
    <xf numFmtId="0" fontId="5" fillId="8" borderId="42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9" fillId="10" borderId="52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2" fontId="9" fillId="10" borderId="1" xfId="0" applyNumberFormat="1" applyFont="1" applyFill="1" applyBorder="1" applyAlignment="1">
      <alignment horizontal="center"/>
    </xf>
    <xf numFmtId="0" fontId="5" fillId="10" borderId="45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10" fillId="9" borderId="51" xfId="0" applyFont="1" applyFill="1" applyBorder="1" applyAlignment="1">
      <alignment horizontal="center"/>
    </xf>
    <xf numFmtId="0" fontId="10" fillId="9" borderId="56" xfId="0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2">
    <cellStyle name="Euro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&#1087;&#1086;&#1083;&#1100;&#1079;&#1086;&#1074;&#1072;&#1090;&#1077;&#1083;&#1100;\Documents\&#1059;&#1050;%20&#1040;-&#1069;&#1051;&#1048;&#1058;&#1040;\&#1058;&#1040;&#1056;&#1048;&#1060;&#1067;\&#1059;&#1050;%20&#1040;-&#1069;&#1051;&#1048;&#1058;&#1040;\&#1058;&#1040;&#1056;&#1048;&#1060;&#1067;\&#1058;&#1040;&#1056;&#1048;&#1060;%20&#1058;&#1054;%20&#1048;%20&#1058;&#1056;_2010%20&#1041;&#1077;&#1083;&#1103;&#1077;&#1074;&#1072;%2040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 2010 Д"/>
      <sheetName val="Тарифы 2011 дом Д"/>
      <sheetName val="Себестоимость"/>
      <sheetName val="Тарифы 2011 дом Г"/>
      <sheetName val="Тарифы 2011 свод2"/>
      <sheetName val="Тарифы 2011 дом Б"/>
      <sheetName val="ЗП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F14">
            <v>599425.2873563217</v>
          </cell>
          <cell r="G14">
            <v>203804.59770114941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3"/>
  <sheetViews>
    <sheetView topLeftCell="A40" zoomScale="75" zoomScaleNormal="75" workbookViewId="0">
      <selection activeCell="Q44" sqref="Q44"/>
    </sheetView>
  </sheetViews>
  <sheetFormatPr defaultRowHeight="13.2" x14ac:dyDescent="0.25"/>
  <cols>
    <col min="1" max="1" width="16.109375" customWidth="1"/>
    <col min="2" max="2" width="53.6640625" customWidth="1"/>
    <col min="3" max="5" width="11" hidden="1" customWidth="1"/>
    <col min="6" max="6" width="13.5546875" hidden="1" customWidth="1"/>
    <col min="7" max="7" width="12.6640625" hidden="1" customWidth="1"/>
    <col min="8" max="8" width="21" hidden="1" customWidth="1"/>
    <col min="9" max="9" width="13.88671875" style="10" hidden="1" customWidth="1"/>
    <col min="10" max="10" width="12.6640625" hidden="1" customWidth="1"/>
    <col min="11" max="11" width="12" hidden="1" customWidth="1"/>
    <col min="12" max="12" width="9.109375" hidden="1" customWidth="1"/>
    <col min="13" max="13" width="10.33203125" hidden="1" customWidth="1"/>
    <col min="14" max="14" width="12.88671875" style="10" hidden="1" customWidth="1"/>
    <col min="15" max="16" width="15.5546875" hidden="1" customWidth="1"/>
    <col min="17" max="17" width="23.33203125" customWidth="1"/>
    <col min="18" max="18" width="16.44140625" customWidth="1"/>
    <col min="19" max="19" width="19.44140625" customWidth="1"/>
    <col min="20" max="20" width="12.5546875" customWidth="1"/>
    <col min="21" max="21" width="17.109375" customWidth="1"/>
    <col min="22" max="22" width="9.109375" customWidth="1"/>
    <col min="23" max="23" width="22" customWidth="1"/>
    <col min="24" max="24" width="9.109375" customWidth="1"/>
    <col min="25" max="25" width="20.33203125" customWidth="1"/>
    <col min="26" max="26" width="12" customWidth="1"/>
    <col min="27" max="27" width="18.6640625" customWidth="1"/>
    <col min="28" max="28" width="13.6640625" customWidth="1"/>
  </cols>
  <sheetData>
    <row r="1" spans="1:28" ht="17.399999999999999" x14ac:dyDescent="0.3">
      <c r="A1" s="645" t="s">
        <v>0</v>
      </c>
      <c r="B1" s="645"/>
      <c r="C1" s="645"/>
      <c r="D1" s="645"/>
      <c r="E1" s="645"/>
      <c r="F1" s="645"/>
      <c r="G1" s="55"/>
      <c r="H1" s="51"/>
      <c r="I1" s="56"/>
      <c r="J1" s="55"/>
      <c r="K1" s="51"/>
      <c r="L1" s="51"/>
      <c r="M1" s="51"/>
      <c r="N1" s="56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7.399999999999999" x14ac:dyDescent="0.3">
      <c r="A2" s="645" t="s">
        <v>1</v>
      </c>
      <c r="B2" s="645"/>
      <c r="C2" s="645"/>
      <c r="D2" s="645"/>
      <c r="E2" s="645"/>
      <c r="F2" s="645"/>
      <c r="G2" s="55"/>
      <c r="H2" s="51"/>
      <c r="I2" s="56"/>
      <c r="J2" s="55"/>
      <c r="K2" s="51"/>
      <c r="L2" s="51"/>
      <c r="M2" s="51"/>
      <c r="N2" s="56"/>
      <c r="O2" s="51"/>
      <c r="P2" s="51"/>
      <c r="Q2" s="51"/>
      <c r="R2" s="51"/>
      <c r="S2" s="55"/>
      <c r="T2" s="57" t="s">
        <v>214</v>
      </c>
      <c r="U2" s="57" t="s">
        <v>213</v>
      </c>
      <c r="V2" s="57"/>
      <c r="W2" s="57"/>
      <c r="X2" s="57" t="s">
        <v>239</v>
      </c>
      <c r="Y2" s="51"/>
      <c r="Z2" s="56"/>
      <c r="AA2" s="51"/>
      <c r="AB2" s="51"/>
    </row>
    <row r="3" spans="1:28" ht="17.399999999999999" x14ac:dyDescent="0.3">
      <c r="A3" s="645" t="s">
        <v>71</v>
      </c>
      <c r="B3" s="645"/>
      <c r="C3" s="645"/>
      <c r="D3" s="645"/>
      <c r="E3" s="645"/>
      <c r="F3" s="645"/>
      <c r="G3" s="55"/>
      <c r="H3" s="51"/>
      <c r="I3" s="56"/>
      <c r="J3" s="58" t="s">
        <v>69</v>
      </c>
      <c r="K3" s="59">
        <f>SUM(K4:K7)</f>
        <v>51743.290000000008</v>
      </c>
      <c r="L3" s="51"/>
      <c r="M3" s="51"/>
      <c r="N3" s="56"/>
      <c r="O3" s="51"/>
      <c r="P3" s="51"/>
      <c r="Q3" s="51"/>
      <c r="R3" s="55"/>
      <c r="S3" s="55"/>
      <c r="T3" s="60"/>
      <c r="U3" s="57" t="s">
        <v>215</v>
      </c>
      <c r="V3" s="61"/>
      <c r="W3" s="62"/>
      <c r="X3" s="63"/>
      <c r="Y3" s="64"/>
      <c r="Z3" s="65"/>
      <c r="AA3" s="58" t="s">
        <v>69</v>
      </c>
      <c r="AB3" s="59">
        <f>SUM(AB4:AB7)</f>
        <v>51743.290000000008</v>
      </c>
    </row>
    <row r="4" spans="1:28" ht="17.399999999999999" x14ac:dyDescent="0.3">
      <c r="A4" s="645" t="s">
        <v>246</v>
      </c>
      <c r="B4" s="645"/>
      <c r="C4" s="66"/>
      <c r="D4" s="66"/>
      <c r="E4" s="66"/>
      <c r="F4" s="67">
        <v>12108.1</v>
      </c>
      <c r="G4" s="55"/>
      <c r="H4" s="51"/>
      <c r="I4" s="56"/>
      <c r="J4" s="68" t="s">
        <v>68</v>
      </c>
      <c r="K4" s="69">
        <v>12648.8</v>
      </c>
      <c r="L4" s="51"/>
      <c r="M4" s="51"/>
      <c r="N4" s="56"/>
      <c r="O4" s="51"/>
      <c r="P4" s="51"/>
      <c r="Q4" s="51"/>
      <c r="R4" s="70"/>
      <c r="S4" s="70"/>
      <c r="T4" s="51"/>
      <c r="U4" s="51"/>
      <c r="V4" s="71"/>
      <c r="W4" s="64"/>
      <c r="X4" s="64"/>
      <c r="Y4" s="64"/>
      <c r="Z4" s="72"/>
      <c r="AA4" s="68" t="s">
        <v>68</v>
      </c>
      <c r="AB4" s="69">
        <v>12648.8</v>
      </c>
    </row>
    <row r="5" spans="1:28" ht="15" customHeight="1" x14ac:dyDescent="0.3">
      <c r="A5" s="51"/>
      <c r="B5" s="73" t="s">
        <v>2</v>
      </c>
      <c r="C5" s="73"/>
      <c r="D5" s="73"/>
      <c r="E5" s="73"/>
      <c r="F5" s="73">
        <v>12085.4</v>
      </c>
      <c r="G5" s="73"/>
      <c r="H5" s="51"/>
      <c r="I5" s="56"/>
      <c r="J5" s="74" t="s">
        <v>61</v>
      </c>
      <c r="K5" s="69">
        <v>12935.1</v>
      </c>
      <c r="L5" s="51"/>
      <c r="M5" s="51"/>
      <c r="N5" s="56"/>
      <c r="O5" s="51"/>
      <c r="P5" s="51"/>
      <c r="Q5" s="51"/>
      <c r="R5" s="73"/>
      <c r="S5" s="73"/>
      <c r="T5" s="51"/>
      <c r="U5" s="51"/>
      <c r="V5" s="73"/>
      <c r="W5" s="64"/>
      <c r="X5" s="64"/>
      <c r="Y5" s="64"/>
      <c r="Z5" s="64"/>
      <c r="AA5" s="74" t="s">
        <v>61</v>
      </c>
      <c r="AB5" s="69">
        <v>12935.1</v>
      </c>
    </row>
    <row r="6" spans="1:28" ht="15" customHeight="1" x14ac:dyDescent="0.3">
      <c r="A6" s="51"/>
      <c r="B6" s="73" t="s">
        <v>3</v>
      </c>
      <c r="C6" s="73"/>
      <c r="D6" s="73"/>
      <c r="E6" s="73"/>
      <c r="F6" s="73">
        <v>849.7</v>
      </c>
      <c r="G6" s="73"/>
      <c r="H6" s="51"/>
      <c r="I6" s="56"/>
      <c r="J6" s="74" t="s">
        <v>62</v>
      </c>
      <c r="K6" s="69">
        <v>12720.7</v>
      </c>
      <c r="L6" s="51"/>
      <c r="M6" s="51"/>
      <c r="N6" s="56"/>
      <c r="O6" s="51"/>
      <c r="P6" s="51"/>
      <c r="Q6" s="51"/>
      <c r="R6" s="73"/>
      <c r="S6" s="73"/>
      <c r="T6" s="51"/>
      <c r="U6" s="51"/>
      <c r="V6" s="73"/>
      <c r="W6" s="64"/>
      <c r="X6" s="64"/>
      <c r="Y6" s="64"/>
      <c r="Z6" s="64"/>
      <c r="AA6" s="74" t="s">
        <v>62</v>
      </c>
      <c r="AB6" s="69">
        <v>12720.7</v>
      </c>
    </row>
    <row r="7" spans="1:28" ht="15" customHeight="1" thickBot="1" x14ac:dyDescent="0.35">
      <c r="A7" s="73"/>
      <c r="B7" s="73" t="s">
        <v>4</v>
      </c>
      <c r="C7" s="73"/>
      <c r="D7" s="73"/>
      <c r="E7" s="73"/>
      <c r="F7" s="73">
        <f>SUM(F5:F6)</f>
        <v>12935.1</v>
      </c>
      <c r="G7" s="73"/>
      <c r="H7" s="51"/>
      <c r="I7" s="56"/>
      <c r="J7" s="75" t="s">
        <v>63</v>
      </c>
      <c r="K7" s="76">
        <v>13438.69</v>
      </c>
      <c r="L7" s="51"/>
      <c r="M7" s="51"/>
      <c r="N7" s="56"/>
      <c r="O7" s="51"/>
      <c r="P7" s="51"/>
      <c r="Q7" s="51"/>
      <c r="R7" s="73"/>
      <c r="S7" s="73"/>
      <c r="T7" s="56"/>
      <c r="U7" s="51"/>
      <c r="V7" s="73"/>
      <c r="W7" s="72"/>
      <c r="X7" s="64"/>
      <c r="Y7" s="64"/>
      <c r="Z7" s="72"/>
      <c r="AA7" s="75" t="s">
        <v>63</v>
      </c>
      <c r="AB7" s="76">
        <v>13438.69</v>
      </c>
    </row>
    <row r="8" spans="1:28" s="54" customFormat="1" ht="39" customHeight="1" x14ac:dyDescent="0.3">
      <c r="A8" s="629" t="s">
        <v>5</v>
      </c>
      <c r="B8" s="646" t="s">
        <v>6</v>
      </c>
      <c r="C8" s="648" t="s">
        <v>7</v>
      </c>
      <c r="D8" s="649"/>
      <c r="E8" s="650"/>
      <c r="F8" s="77" t="s">
        <v>8</v>
      </c>
      <c r="G8" s="77" t="s">
        <v>53</v>
      </c>
      <c r="H8" s="637" t="s">
        <v>58</v>
      </c>
      <c r="I8" s="78" t="s">
        <v>53</v>
      </c>
      <c r="J8" s="77" t="s">
        <v>57</v>
      </c>
      <c r="K8" s="637" t="s">
        <v>121</v>
      </c>
      <c r="L8" s="79"/>
      <c r="M8" s="79"/>
      <c r="N8" s="78"/>
      <c r="O8" s="79"/>
      <c r="P8" s="80"/>
      <c r="Q8" s="81"/>
      <c r="R8" s="82" t="s">
        <v>240</v>
      </c>
      <c r="S8" s="639" t="s">
        <v>76</v>
      </c>
      <c r="T8" s="640"/>
      <c r="U8" s="639" t="s">
        <v>77</v>
      </c>
      <c r="V8" s="640"/>
      <c r="W8" s="639" t="s">
        <v>78</v>
      </c>
      <c r="X8" s="643"/>
      <c r="Y8" s="639" t="s">
        <v>80</v>
      </c>
      <c r="Z8" s="640"/>
      <c r="AA8" s="629" t="s">
        <v>241</v>
      </c>
      <c r="AB8" s="630"/>
    </row>
    <row r="9" spans="1:28" s="54" customFormat="1" ht="27.75" customHeight="1" thickBot="1" x14ac:dyDescent="0.35">
      <c r="A9" s="631"/>
      <c r="B9" s="647"/>
      <c r="C9" s="83" t="s">
        <v>9</v>
      </c>
      <c r="D9" s="83" t="s">
        <v>10</v>
      </c>
      <c r="E9" s="84" t="s">
        <v>54</v>
      </c>
      <c r="F9" s="83">
        <v>2011</v>
      </c>
      <c r="G9" s="83">
        <v>2011</v>
      </c>
      <c r="H9" s="638"/>
      <c r="I9" s="85" t="s">
        <v>11</v>
      </c>
      <c r="J9" s="83" t="s">
        <v>120</v>
      </c>
      <c r="K9" s="638"/>
      <c r="L9" s="86"/>
      <c r="M9" s="86"/>
      <c r="N9" s="85"/>
      <c r="O9" s="86"/>
      <c r="P9" s="87"/>
      <c r="Q9" s="88"/>
      <c r="R9" s="89" t="s">
        <v>72</v>
      </c>
      <c r="S9" s="641"/>
      <c r="T9" s="642"/>
      <c r="U9" s="641"/>
      <c r="V9" s="642"/>
      <c r="W9" s="641"/>
      <c r="X9" s="644"/>
      <c r="Y9" s="641"/>
      <c r="Z9" s="642"/>
      <c r="AA9" s="631"/>
      <c r="AB9" s="632"/>
    </row>
    <row r="10" spans="1:28" ht="15" customHeight="1" thickBot="1" x14ac:dyDescent="0.35">
      <c r="A10" s="90" t="s">
        <v>12</v>
      </c>
      <c r="B10" s="633" t="s">
        <v>13</v>
      </c>
      <c r="C10" s="634"/>
      <c r="D10" s="634"/>
      <c r="E10" s="634"/>
      <c r="F10" s="634"/>
      <c r="G10" s="634"/>
      <c r="H10" s="635"/>
      <c r="I10" s="56"/>
      <c r="J10" s="51"/>
      <c r="K10" s="51"/>
      <c r="L10" s="51"/>
      <c r="M10" s="51"/>
      <c r="N10" s="56"/>
      <c r="O10" s="51"/>
      <c r="P10" s="91"/>
      <c r="Q10" s="92"/>
      <c r="R10" s="93"/>
      <c r="S10" s="94" t="s">
        <v>75</v>
      </c>
      <c r="T10" s="95">
        <v>12</v>
      </c>
      <c r="U10" s="94" t="s">
        <v>74</v>
      </c>
      <c r="V10" s="95">
        <v>12</v>
      </c>
      <c r="W10" s="94"/>
      <c r="X10" s="96">
        <v>12</v>
      </c>
      <c r="Y10" s="94"/>
      <c r="Z10" s="96">
        <v>6</v>
      </c>
      <c r="AA10" s="97" t="s">
        <v>75</v>
      </c>
      <c r="AB10" s="98">
        <v>12</v>
      </c>
    </row>
    <row r="11" spans="1:28" s="1" customFormat="1" ht="54.6" customHeight="1" x14ac:dyDescent="0.3">
      <c r="A11" s="99" t="s">
        <v>125</v>
      </c>
      <c r="B11" s="100" t="s">
        <v>250</v>
      </c>
      <c r="C11" s="101">
        <v>0.62</v>
      </c>
      <c r="D11" s="101">
        <v>1.1100000000000001</v>
      </c>
      <c r="E11" s="101">
        <f t="shared" ref="E11:E22" si="0">F11/$F$7/12</f>
        <v>1.2060208270519748</v>
      </c>
      <c r="F11" s="101">
        <v>187200</v>
      </c>
      <c r="G11" s="102">
        <v>185950</v>
      </c>
      <c r="H11" s="101">
        <f>G11/$F$7/12</f>
        <v>1.1979678033670658</v>
      </c>
      <c r="I11" s="103">
        <f>G11/$F$7/12</f>
        <v>1.1979678033670658</v>
      </c>
      <c r="J11" s="102"/>
      <c r="K11" s="101">
        <f>J11/$F$7/12</f>
        <v>0</v>
      </c>
      <c r="L11" s="57"/>
      <c r="M11" s="57">
        <f>211200*3</f>
        <v>633600</v>
      </c>
      <c r="N11" s="103">
        <f>M11/$K$4*$K$5</f>
        <v>647941.25608753401</v>
      </c>
      <c r="O11" s="103">
        <f t="shared" ref="O11:O21" si="1">J11-N11</f>
        <v>-647941.25608753401</v>
      </c>
      <c r="P11" s="101"/>
      <c r="Q11" s="104">
        <v>936000</v>
      </c>
      <c r="R11" s="105">
        <f t="shared" ref="R11:R21" si="2">PRODUCT(Q11/51743.29/12)</f>
        <v>1.5074418344871383</v>
      </c>
      <c r="S11" s="106">
        <f t="shared" ref="S11:S21" si="3">PRODUCT(Q11/51743.2,12935.1)</f>
        <v>233987.33746656566</v>
      </c>
      <c r="T11" s="107">
        <f t="shared" ref="T11:T21" si="4">PRODUCT(S11/12/12935.1)</f>
        <v>1.5074444564696423</v>
      </c>
      <c r="U11" s="106">
        <f t="shared" ref="U11:U46" si="5">PRODUCT(Q11/51743.3,12720.7)</f>
        <v>230108.53965634198</v>
      </c>
      <c r="V11" s="107">
        <f t="shared" ref="V11:V21" si="6">PRODUCT(U11/12/12720.7)</f>
        <v>1.5074415431563117</v>
      </c>
      <c r="W11" s="106">
        <f t="shared" ref="W11:W46" si="7">PRODUCT(Q11/51743.2,13438.69)</f>
        <v>243096.94491256823</v>
      </c>
      <c r="X11" s="108">
        <f t="shared" ref="X11:X20" si="8">PRODUCT(W11/12/13438.6)</f>
        <v>1.5074545520153899</v>
      </c>
      <c r="Y11" s="106">
        <f t="shared" ref="Y11:Y46" si="9">PRODUCT(Q11/51743.2,12648.8)</f>
        <v>228808.36129191853</v>
      </c>
      <c r="Z11" s="108">
        <f t="shared" ref="Z11:Z21" si="10">PRODUCT(Y11/12/12648.8)</f>
        <v>1.5074444564696423</v>
      </c>
      <c r="AA11" s="109">
        <v>1029600</v>
      </c>
      <c r="AB11" s="110">
        <f>PRODUCT(AA11/12/51743.29)</f>
        <v>1.6581860179358521</v>
      </c>
    </row>
    <row r="12" spans="1:28" s="1" customFormat="1" ht="82.2" customHeight="1" x14ac:dyDescent="0.3">
      <c r="A12" s="99" t="s">
        <v>126</v>
      </c>
      <c r="B12" s="100" t="s">
        <v>252</v>
      </c>
      <c r="C12" s="101">
        <v>0.15</v>
      </c>
      <c r="D12" s="101">
        <v>0.08</v>
      </c>
      <c r="E12" s="101">
        <f t="shared" si="0"/>
        <v>7.5376301690748423E-2</v>
      </c>
      <c r="F12" s="102">
        <v>11700</v>
      </c>
      <c r="G12" s="102">
        <v>9723.2000000000007</v>
      </c>
      <c r="H12" s="101">
        <f>PRODUCT(G12/12/F7)</f>
        <v>6.2640927914485917E-2</v>
      </c>
      <c r="I12" s="103">
        <f t="shared" ref="I12:I63" si="11">G12/$F$7/12</f>
        <v>6.2640927914485903E-2</v>
      </c>
      <c r="J12" s="102"/>
      <c r="K12" s="101">
        <f t="shared" ref="K12:K46" si="12">J12/$F$7/12</f>
        <v>0</v>
      </c>
      <c r="L12" s="57"/>
      <c r="M12" s="57">
        <v>35003.519999999997</v>
      </c>
      <c r="N12" s="103">
        <f t="shared" ref="N12:N21" si="13">M12/$K$4*$K$5</f>
        <v>35795.80921130858</v>
      </c>
      <c r="O12" s="103">
        <f t="shared" si="1"/>
        <v>-35795.80921130858</v>
      </c>
      <c r="P12" s="101"/>
      <c r="Q12" s="111">
        <v>46671.360000000001</v>
      </c>
      <c r="R12" s="105">
        <f t="shared" si="2"/>
        <v>7.5164915103001759E-2</v>
      </c>
      <c r="S12" s="106">
        <f t="shared" si="3"/>
        <v>11667.20861361493</v>
      </c>
      <c r="T12" s="107">
        <f t="shared" si="4"/>
        <v>7.5165045841772443E-2</v>
      </c>
      <c r="U12" s="106">
        <f t="shared" si="5"/>
        <v>11473.801809161765</v>
      </c>
      <c r="V12" s="107">
        <f t="shared" si="6"/>
        <v>7.5164900576499744E-2</v>
      </c>
      <c r="W12" s="106">
        <f t="shared" si="7"/>
        <v>12121.436998840429</v>
      </c>
      <c r="X12" s="112">
        <f t="shared" si="8"/>
        <v>7.5165549231569442E-2</v>
      </c>
      <c r="Y12" s="106">
        <f t="shared" si="9"/>
        <v>11408.971582120936</v>
      </c>
      <c r="Z12" s="108">
        <f t="shared" si="10"/>
        <v>7.5165045841772457E-2</v>
      </c>
      <c r="AA12" s="113">
        <v>51338</v>
      </c>
      <c r="AB12" s="110">
        <f>PRODUCT(AA12/12/51743.29)</f>
        <v>8.2680607797970845E-2</v>
      </c>
    </row>
    <row r="13" spans="1:28" s="1" customFormat="1" ht="76.5" customHeight="1" x14ac:dyDescent="0.3">
      <c r="A13" s="99" t="s">
        <v>127</v>
      </c>
      <c r="B13" s="114" t="s">
        <v>251</v>
      </c>
      <c r="C13" s="101">
        <f>0.77+2.15</f>
        <v>2.92</v>
      </c>
      <c r="D13" s="101">
        <v>1.95</v>
      </c>
      <c r="E13" s="101">
        <f t="shared" si="0"/>
        <v>2.0486892254408544</v>
      </c>
      <c r="F13" s="102">
        <v>318000</v>
      </c>
      <c r="G13" s="102">
        <v>313000</v>
      </c>
      <c r="H13" s="101">
        <f>PRODUCT(G13/12/F7)</f>
        <v>2.0164771307012184</v>
      </c>
      <c r="I13" s="103">
        <f t="shared" si="11"/>
        <v>2.0164771307012184</v>
      </c>
      <c r="J13" s="102"/>
      <c r="K13" s="101">
        <f t="shared" si="12"/>
        <v>0</v>
      </c>
      <c r="L13" s="57"/>
      <c r="M13" s="57">
        <v>954000</v>
      </c>
      <c r="N13" s="103">
        <f t="shared" si="13"/>
        <v>975593.36854088935</v>
      </c>
      <c r="O13" s="103">
        <f t="shared" si="1"/>
        <v>-975593.36854088935</v>
      </c>
      <c r="P13" s="101"/>
      <c r="Q13" s="111">
        <v>1409962</v>
      </c>
      <c r="R13" s="105">
        <f t="shared" si="2"/>
        <v>2.2707646408516609</v>
      </c>
      <c r="S13" s="106">
        <f t="shared" si="3"/>
        <v>352471.42554383958</v>
      </c>
      <c r="T13" s="107">
        <f t="shared" si="4"/>
        <v>2.2707685905265489</v>
      </c>
      <c r="U13" s="106">
        <f t="shared" si="5"/>
        <v>346628.52221253765</v>
      </c>
      <c r="V13" s="107">
        <f t="shared" si="6"/>
        <v>2.2707642019997434</v>
      </c>
      <c r="W13" s="106">
        <f t="shared" si="7"/>
        <v>366193.86179787881</v>
      </c>
      <c r="X13" s="108">
        <f t="shared" si="8"/>
        <v>2.2707837981503456</v>
      </c>
      <c r="Y13" s="106">
        <f t="shared" si="9"/>
        <v>344669.97297422658</v>
      </c>
      <c r="Z13" s="108">
        <f t="shared" si="10"/>
        <v>2.2707685905265493</v>
      </c>
      <c r="AA13" s="113">
        <v>1410000</v>
      </c>
      <c r="AB13" s="110">
        <f>PRODUCT(AA13/12/51743.29)</f>
        <v>2.2708258404133175</v>
      </c>
    </row>
    <row r="14" spans="1:28" s="1" customFormat="1" ht="28.5" customHeight="1" x14ac:dyDescent="0.3">
      <c r="A14" s="99" t="s">
        <v>128</v>
      </c>
      <c r="B14" s="114"/>
      <c r="C14" s="101"/>
      <c r="D14" s="101"/>
      <c r="E14" s="101"/>
      <c r="F14" s="102">
        <v>0</v>
      </c>
      <c r="G14" s="102">
        <v>0</v>
      </c>
      <c r="H14" s="113"/>
      <c r="I14" s="103"/>
      <c r="J14" s="102"/>
      <c r="K14" s="101"/>
      <c r="L14" s="57"/>
      <c r="M14" s="57"/>
      <c r="N14" s="103">
        <f t="shared" si="13"/>
        <v>0</v>
      </c>
      <c r="O14" s="103">
        <f t="shared" si="1"/>
        <v>0</v>
      </c>
      <c r="P14" s="101"/>
      <c r="Q14" s="111"/>
      <c r="R14" s="105">
        <f t="shared" si="2"/>
        <v>0</v>
      </c>
      <c r="S14" s="106">
        <f t="shared" si="3"/>
        <v>0</v>
      </c>
      <c r="T14" s="107">
        <f t="shared" si="4"/>
        <v>0</v>
      </c>
      <c r="U14" s="106">
        <f t="shared" si="5"/>
        <v>0</v>
      </c>
      <c r="V14" s="107">
        <f t="shared" si="6"/>
        <v>0</v>
      </c>
      <c r="W14" s="106">
        <f t="shared" si="7"/>
        <v>0</v>
      </c>
      <c r="X14" s="112">
        <f t="shared" si="8"/>
        <v>0</v>
      </c>
      <c r="Y14" s="106">
        <f t="shared" si="9"/>
        <v>0</v>
      </c>
      <c r="Z14" s="108">
        <f t="shared" si="10"/>
        <v>0</v>
      </c>
      <c r="AA14" s="113"/>
      <c r="AB14" s="113"/>
    </row>
    <row r="15" spans="1:28" s="1" customFormat="1" ht="78.599999999999994" customHeight="1" x14ac:dyDescent="0.3">
      <c r="A15" s="99" t="s">
        <v>129</v>
      </c>
      <c r="B15" s="114" t="s">
        <v>253</v>
      </c>
      <c r="C15" s="101">
        <v>0.39</v>
      </c>
      <c r="D15" s="101">
        <v>0.91</v>
      </c>
      <c r="E15" s="101">
        <v>0</v>
      </c>
      <c r="F15" s="115">
        <v>0</v>
      </c>
      <c r="G15" s="115">
        <v>0</v>
      </c>
      <c r="H15" s="113">
        <v>0</v>
      </c>
      <c r="I15" s="103">
        <f t="shared" si="11"/>
        <v>0</v>
      </c>
      <c r="J15" s="115"/>
      <c r="K15" s="116"/>
      <c r="L15" s="117"/>
      <c r="M15" s="117"/>
      <c r="N15" s="118">
        <f t="shared" si="13"/>
        <v>0</v>
      </c>
      <c r="O15" s="118">
        <f t="shared" si="1"/>
        <v>0</v>
      </c>
      <c r="P15" s="116"/>
      <c r="Q15" s="119">
        <v>0</v>
      </c>
      <c r="R15" s="120">
        <f t="shared" si="2"/>
        <v>0</v>
      </c>
      <c r="S15" s="121">
        <f t="shared" si="3"/>
        <v>0</v>
      </c>
      <c r="T15" s="122">
        <f t="shared" si="4"/>
        <v>0</v>
      </c>
      <c r="U15" s="121">
        <f t="shared" si="5"/>
        <v>0</v>
      </c>
      <c r="V15" s="122">
        <f t="shared" si="6"/>
        <v>0</v>
      </c>
      <c r="W15" s="121">
        <f t="shared" si="7"/>
        <v>0</v>
      </c>
      <c r="X15" s="120">
        <f t="shared" si="8"/>
        <v>0</v>
      </c>
      <c r="Y15" s="121">
        <f t="shared" si="9"/>
        <v>0</v>
      </c>
      <c r="Z15" s="120">
        <f t="shared" si="10"/>
        <v>0</v>
      </c>
      <c r="AA15" s="123"/>
      <c r="AB15" s="123">
        <v>0</v>
      </c>
    </row>
    <row r="16" spans="1:28" s="1" customFormat="1" ht="74.400000000000006" customHeight="1" x14ac:dyDescent="0.3">
      <c r="A16" s="99" t="s">
        <v>130</v>
      </c>
      <c r="B16" s="100" t="s">
        <v>275</v>
      </c>
      <c r="C16" s="101">
        <v>1.55</v>
      </c>
      <c r="D16" s="101">
        <v>1.1299999999999999</v>
      </c>
      <c r="E16" s="101">
        <f t="shared" si="0"/>
        <v>1.2305020190540983</v>
      </c>
      <c r="F16" s="102">
        <v>191000</v>
      </c>
      <c r="G16" s="102">
        <v>169140.15</v>
      </c>
      <c r="H16" s="101">
        <f>PRODUCT(G16/12/F7)</f>
        <v>1.0896717072152513</v>
      </c>
      <c r="I16" s="103">
        <f t="shared" si="11"/>
        <v>1.0896717072152515</v>
      </c>
      <c r="J16" s="102"/>
      <c r="K16" s="101">
        <f t="shared" si="12"/>
        <v>0</v>
      </c>
      <c r="L16" s="57"/>
      <c r="M16" s="57">
        <v>529336.67000000004</v>
      </c>
      <c r="N16" s="103">
        <f t="shared" si="13"/>
        <v>541317.97167454637</v>
      </c>
      <c r="O16" s="103">
        <f t="shared" si="1"/>
        <v>-541317.97167454637</v>
      </c>
      <c r="P16" s="101"/>
      <c r="Q16" s="124">
        <v>1291436</v>
      </c>
      <c r="R16" s="105">
        <f t="shared" si="2"/>
        <v>2.0798767659858246</v>
      </c>
      <c r="S16" s="106">
        <f t="shared" si="3"/>
        <v>322841.52900477749</v>
      </c>
      <c r="T16" s="107">
        <f t="shared" si="4"/>
        <v>2.0798803836381725</v>
      </c>
      <c r="U16" s="106">
        <f t="shared" si="5"/>
        <v>317489.79916626884</v>
      </c>
      <c r="V16" s="107">
        <f t="shared" si="6"/>
        <v>2.0798763640252296</v>
      </c>
      <c r="W16" s="106">
        <f t="shared" si="7"/>
        <v>335410.41255353368</v>
      </c>
      <c r="X16" s="112">
        <f t="shared" si="8"/>
        <v>2.0798943128595591</v>
      </c>
      <c r="Y16" s="106">
        <f t="shared" si="9"/>
        <v>315695.89195875014</v>
      </c>
      <c r="Z16" s="108">
        <f t="shared" si="10"/>
        <v>2.0798803836381721</v>
      </c>
      <c r="AA16" s="113">
        <v>1420578</v>
      </c>
      <c r="AB16" s="110">
        <f>PRODUCT(AA16/12/51743.29)</f>
        <v>2.2878618657607586</v>
      </c>
    </row>
    <row r="17" spans="1:28" s="1" customFormat="1" ht="46.2" customHeight="1" x14ac:dyDescent="0.3">
      <c r="A17" s="99" t="s">
        <v>131</v>
      </c>
      <c r="B17" s="100" t="s">
        <v>254</v>
      </c>
      <c r="C17" s="101">
        <v>2.48</v>
      </c>
      <c r="D17" s="101">
        <v>1.1599999999999999</v>
      </c>
      <c r="E17" s="101">
        <f t="shared" si="0"/>
        <v>1.2884837895854433</v>
      </c>
      <c r="F17" s="102">
        <v>200000</v>
      </c>
      <c r="G17" s="102">
        <v>122333.34</v>
      </c>
      <c r="H17" s="101">
        <f>PRODUCT(G17/12/F7)</f>
        <v>0.78812262757922236</v>
      </c>
      <c r="I17" s="103">
        <f t="shared" si="11"/>
        <v>0.78812262757922236</v>
      </c>
      <c r="J17" s="102"/>
      <c r="K17" s="101">
        <f t="shared" si="12"/>
        <v>0</v>
      </c>
      <c r="L17" s="57"/>
      <c r="M17" s="57">
        <v>570000</v>
      </c>
      <c r="N17" s="103">
        <f t="shared" si="13"/>
        <v>582901.69818480813</v>
      </c>
      <c r="O17" s="103">
        <f t="shared" si="1"/>
        <v>-582901.69818480813</v>
      </c>
      <c r="P17" s="101"/>
      <c r="Q17" s="111">
        <v>743099.95</v>
      </c>
      <c r="R17" s="105">
        <f t="shared" si="2"/>
        <v>1.1967734528154923</v>
      </c>
      <c r="S17" s="106">
        <f t="shared" si="3"/>
        <v>185764.93458551075</v>
      </c>
      <c r="T17" s="107">
        <f t="shared" si="4"/>
        <v>1.1967755344341542</v>
      </c>
      <c r="U17" s="106">
        <f t="shared" si="5"/>
        <v>182685.51742863326</v>
      </c>
      <c r="V17" s="107">
        <f t="shared" si="6"/>
        <v>1.1967732215249767</v>
      </c>
      <c r="W17" s="106">
        <f t="shared" si="7"/>
        <v>192997.14488213911</v>
      </c>
      <c r="X17" s="108">
        <f t="shared" si="8"/>
        <v>1.196783549390928</v>
      </c>
      <c r="Y17" s="106">
        <f t="shared" si="9"/>
        <v>181653.29255940876</v>
      </c>
      <c r="Z17" s="108">
        <f t="shared" si="10"/>
        <v>1.1967755344341542</v>
      </c>
      <c r="AA17" s="113">
        <v>817408</v>
      </c>
      <c r="AB17" s="110">
        <f>PRODUCT(AA17/12/51743.29)</f>
        <v>1.3164476656457935</v>
      </c>
    </row>
    <row r="18" spans="1:28" s="1" customFormat="1" ht="95.4" customHeight="1" x14ac:dyDescent="0.3">
      <c r="A18" s="99" t="s">
        <v>132</v>
      </c>
      <c r="B18" s="100" t="s">
        <v>278</v>
      </c>
      <c r="C18" s="101"/>
      <c r="D18" s="101"/>
      <c r="E18" s="101"/>
      <c r="F18" s="102">
        <v>0</v>
      </c>
      <c r="G18" s="102">
        <v>19694.21</v>
      </c>
      <c r="H18" s="101">
        <f>PRODUCT(G18/12/F7)</f>
        <v>0.12687835166845765</v>
      </c>
      <c r="I18" s="103">
        <f t="shared" si="11"/>
        <v>0.12687835166845765</v>
      </c>
      <c r="J18" s="102"/>
      <c r="K18" s="101">
        <f t="shared" si="12"/>
        <v>0</v>
      </c>
      <c r="L18" s="57"/>
      <c r="M18" s="57">
        <v>62055</v>
      </c>
      <c r="N18" s="103">
        <f t="shared" si="13"/>
        <v>63459.587510277663</v>
      </c>
      <c r="O18" s="103">
        <f t="shared" si="1"/>
        <v>-63459.587510277663</v>
      </c>
      <c r="P18" s="101"/>
      <c r="Q18" s="111">
        <v>938910</v>
      </c>
      <c r="R18" s="105">
        <f t="shared" si="2"/>
        <v>1.5121284324982041</v>
      </c>
      <c r="S18" s="106">
        <f t="shared" si="3"/>
        <v>234714.79809907393</v>
      </c>
      <c r="T18" s="107">
        <f t="shared" si="4"/>
        <v>1.5121310626323847</v>
      </c>
      <c r="U18" s="106">
        <f t="shared" si="5"/>
        <v>230823.94120591457</v>
      </c>
      <c r="V18" s="107">
        <f t="shared" si="6"/>
        <v>1.5121281402616376</v>
      </c>
      <c r="W18" s="106">
        <f t="shared" si="7"/>
        <v>243852.72708104644</v>
      </c>
      <c r="X18" s="112">
        <f t="shared" si="8"/>
        <v>1.512141189564925</v>
      </c>
      <c r="Y18" s="106">
        <f t="shared" si="9"/>
        <v>229519.72062029407</v>
      </c>
      <c r="Z18" s="108">
        <f t="shared" si="10"/>
        <v>1.5121310626323845</v>
      </c>
      <c r="AA18" s="113">
        <v>1032801</v>
      </c>
      <c r="AB18" s="110">
        <f>PRODUCT(AA18/12/51743.29)</f>
        <v>1.6633412757480246</v>
      </c>
    </row>
    <row r="19" spans="1:28" s="4" customFormat="1" ht="39.75" customHeight="1" x14ac:dyDescent="0.3">
      <c r="A19" s="99" t="s">
        <v>133</v>
      </c>
      <c r="B19" s="125" t="s">
        <v>14</v>
      </c>
      <c r="C19" s="116">
        <v>0</v>
      </c>
      <c r="D19" s="116">
        <v>0</v>
      </c>
      <c r="E19" s="116">
        <v>0</v>
      </c>
      <c r="F19" s="126">
        <v>0</v>
      </c>
      <c r="G19" s="126">
        <v>0</v>
      </c>
      <c r="H19" s="123"/>
      <c r="I19" s="103"/>
      <c r="J19" s="126"/>
      <c r="K19" s="116"/>
      <c r="L19" s="117"/>
      <c r="M19" s="117"/>
      <c r="N19" s="118">
        <f t="shared" si="13"/>
        <v>0</v>
      </c>
      <c r="O19" s="118">
        <f t="shared" si="1"/>
        <v>0</v>
      </c>
      <c r="P19" s="116"/>
      <c r="Q19" s="119"/>
      <c r="R19" s="120">
        <f t="shared" si="2"/>
        <v>0</v>
      </c>
      <c r="S19" s="121">
        <f t="shared" si="3"/>
        <v>0</v>
      </c>
      <c r="T19" s="122">
        <f t="shared" si="4"/>
        <v>0</v>
      </c>
      <c r="U19" s="121">
        <f t="shared" si="5"/>
        <v>0</v>
      </c>
      <c r="V19" s="122">
        <f t="shared" si="6"/>
        <v>0</v>
      </c>
      <c r="W19" s="121">
        <f t="shared" si="7"/>
        <v>0</v>
      </c>
      <c r="X19" s="120">
        <f t="shared" si="8"/>
        <v>0</v>
      </c>
      <c r="Y19" s="121">
        <f t="shared" si="9"/>
        <v>0</v>
      </c>
      <c r="Z19" s="120">
        <f t="shared" si="10"/>
        <v>0</v>
      </c>
      <c r="AA19" s="123"/>
      <c r="AB19" s="123"/>
    </row>
    <row r="20" spans="1:28" s="1" customFormat="1" ht="43.2" customHeight="1" x14ac:dyDescent="0.3">
      <c r="A20" s="99" t="s">
        <v>134</v>
      </c>
      <c r="B20" s="127" t="s">
        <v>276</v>
      </c>
      <c r="C20" s="101">
        <v>0</v>
      </c>
      <c r="D20" s="101">
        <v>0</v>
      </c>
      <c r="E20" s="101">
        <f t="shared" si="0"/>
        <v>0.25769675791708863</v>
      </c>
      <c r="F20" s="128">
        <v>40000</v>
      </c>
      <c r="G20" s="128">
        <v>25510</v>
      </c>
      <c r="H20" s="101">
        <f>PRODUCT(G20/12/F7)</f>
        <v>0.16434610736162328</v>
      </c>
      <c r="I20" s="103">
        <f t="shared" si="11"/>
        <v>0.16434610736162328</v>
      </c>
      <c r="J20" s="128"/>
      <c r="K20" s="101">
        <f t="shared" si="12"/>
        <v>0</v>
      </c>
      <c r="L20" s="57"/>
      <c r="M20" s="57">
        <v>75000</v>
      </c>
      <c r="N20" s="103">
        <f t="shared" si="13"/>
        <v>76697.591866422124</v>
      </c>
      <c r="O20" s="103">
        <f t="shared" si="1"/>
        <v>-76697.591866422124</v>
      </c>
      <c r="P20" s="101"/>
      <c r="Q20" s="111">
        <v>222332</v>
      </c>
      <c r="R20" s="105">
        <f t="shared" si="2"/>
        <v>0.35806897216366923</v>
      </c>
      <c r="S20" s="106">
        <f t="shared" si="3"/>
        <v>55579.992215402221</v>
      </c>
      <c r="T20" s="107">
        <f t="shared" si="4"/>
        <v>0.35806959497415441</v>
      </c>
      <c r="U20" s="106">
        <f t="shared" si="5"/>
        <v>54658.645127001946</v>
      </c>
      <c r="V20" s="107">
        <f t="shared" si="6"/>
        <v>0.35806890296263799</v>
      </c>
      <c r="W20" s="106">
        <f t="shared" si="7"/>
        <v>57743.835423398632</v>
      </c>
      <c r="X20" s="112">
        <f t="shared" si="8"/>
        <v>0.35807199301141629</v>
      </c>
      <c r="Y20" s="106">
        <f t="shared" si="9"/>
        <v>54349.808314909009</v>
      </c>
      <c r="Z20" s="108">
        <f t="shared" si="10"/>
        <v>0.35806959497415441</v>
      </c>
      <c r="AA20" s="113">
        <v>244565.2</v>
      </c>
      <c r="AB20" s="110">
        <f>PRODUCT(AA20/12/51743.29)</f>
        <v>0.39387586938003621</v>
      </c>
    </row>
    <row r="21" spans="1:28" s="1" customFormat="1" ht="33" customHeight="1" thickBot="1" x14ac:dyDescent="0.35">
      <c r="A21" s="129"/>
      <c r="B21" s="130" t="s">
        <v>160</v>
      </c>
      <c r="C21" s="131"/>
      <c r="D21" s="131"/>
      <c r="E21" s="131"/>
      <c r="F21" s="132"/>
      <c r="G21" s="132"/>
      <c r="H21" s="131"/>
      <c r="I21" s="133"/>
      <c r="J21" s="132"/>
      <c r="K21" s="131"/>
      <c r="L21" s="134"/>
      <c r="M21" s="134"/>
      <c r="N21" s="133">
        <f t="shared" si="13"/>
        <v>0</v>
      </c>
      <c r="O21" s="133">
        <f t="shared" si="1"/>
        <v>0</v>
      </c>
      <c r="P21" s="131"/>
      <c r="Q21" s="135">
        <f>SUM(Q11:Q20)</f>
        <v>5588411.3099999996</v>
      </c>
      <c r="R21" s="136">
        <f t="shared" si="2"/>
        <v>9.0002190139049905</v>
      </c>
      <c r="S21" s="137">
        <f t="shared" si="3"/>
        <v>1397027.2255287846</v>
      </c>
      <c r="T21" s="138">
        <f t="shared" si="4"/>
        <v>9.0002346685168302</v>
      </c>
      <c r="U21" s="137">
        <f t="shared" si="5"/>
        <v>1373868.7666058601</v>
      </c>
      <c r="V21" s="138">
        <f t="shared" si="6"/>
        <v>9.0002172745070368</v>
      </c>
      <c r="W21" s="137">
        <f t="shared" si="7"/>
        <v>1451416.3636494053</v>
      </c>
      <c r="X21" s="138">
        <f>PRODUCT(W21/12/13438.6)</f>
        <v>9.0002949442241338</v>
      </c>
      <c r="Y21" s="137">
        <f t="shared" si="9"/>
        <v>1366106.019301628</v>
      </c>
      <c r="Z21" s="139">
        <f t="shared" si="10"/>
        <v>9.0002346685168302</v>
      </c>
      <c r="AA21" s="135">
        <f>SUM(AA11:AA20)</f>
        <v>6006290.2000000002</v>
      </c>
      <c r="AB21" s="140">
        <f>SUM(AB11:AB20)</f>
        <v>9.673219142681754</v>
      </c>
    </row>
    <row r="22" spans="1:28" s="1" customFormat="1" ht="64.8" customHeight="1" thickBot="1" x14ac:dyDescent="0.35">
      <c r="A22" s="141" t="s">
        <v>123</v>
      </c>
      <c r="B22" s="142" t="s">
        <v>122</v>
      </c>
      <c r="C22" s="143">
        <v>5.59</v>
      </c>
      <c r="D22" s="143">
        <v>5.58</v>
      </c>
      <c r="E22" s="143">
        <f t="shared" si="0"/>
        <v>5.1747434310356519</v>
      </c>
      <c r="F22" s="144">
        <f>SUM(F24:F27)</f>
        <v>803229.88505747111</v>
      </c>
      <c r="G22" s="144">
        <f>SUM(G24:G27)</f>
        <v>799980.87</v>
      </c>
      <c r="H22" s="143">
        <f>PRODUCT(G22/12/F7)</f>
        <v>5.1538119148672985</v>
      </c>
      <c r="I22" s="145">
        <f t="shared" si="11"/>
        <v>5.1538119148672985</v>
      </c>
      <c r="J22" s="146"/>
      <c r="K22" s="143"/>
      <c r="L22" s="147"/>
      <c r="M22" s="147"/>
      <c r="N22" s="145"/>
      <c r="O22" s="147"/>
      <c r="P22" s="148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50"/>
      <c r="AB22" s="151">
        <f>PRODUCT(AA22/12/51743.29)</f>
        <v>0</v>
      </c>
    </row>
    <row r="23" spans="1:28" s="5" customFormat="1" ht="14.25" customHeight="1" x14ac:dyDescent="0.3">
      <c r="A23" s="152"/>
      <c r="B23" s="153" t="s">
        <v>15</v>
      </c>
      <c r="C23" s="154"/>
      <c r="D23" s="154"/>
      <c r="E23" s="155"/>
      <c r="F23" s="156"/>
      <c r="G23" s="156"/>
      <c r="H23" s="154"/>
      <c r="I23" s="103"/>
      <c r="J23" s="156"/>
      <c r="K23" s="110"/>
      <c r="L23" s="51"/>
      <c r="M23" s="51"/>
      <c r="N23" s="56"/>
      <c r="O23" s="51"/>
      <c r="P23" s="157"/>
      <c r="Q23" s="158"/>
      <c r="R23" s="159"/>
      <c r="S23" s="106">
        <f t="shared" ref="S23:S46" si="14">PRODUCT(Q23/51743.2,12935.1)</f>
        <v>0</v>
      </c>
      <c r="T23" s="107">
        <f t="shared" ref="T23:T30" si="15">PRODUCT(S23/12/12935.1)</f>
        <v>0</v>
      </c>
      <c r="U23" s="106">
        <f t="shared" si="5"/>
        <v>0</v>
      </c>
      <c r="V23" s="107">
        <f t="shared" ref="V23:V28" si="16">PRODUCT(U23/12/12720.7)</f>
        <v>0</v>
      </c>
      <c r="W23" s="106">
        <f t="shared" si="7"/>
        <v>0</v>
      </c>
      <c r="X23" s="108">
        <f t="shared" ref="X23:X30" si="17">PRODUCT(W23/12/13438.6)</f>
        <v>0</v>
      </c>
      <c r="Y23" s="106">
        <f t="shared" si="9"/>
        <v>0</v>
      </c>
      <c r="Z23" s="108">
        <f t="shared" ref="Z23:Z30" si="18">PRODUCT(Y23/12/12648.8)</f>
        <v>0</v>
      </c>
      <c r="AA23" s="157"/>
      <c r="AB23" s="157"/>
    </row>
    <row r="24" spans="1:28" ht="26.4" customHeight="1" x14ac:dyDescent="0.3">
      <c r="A24" s="160" t="s">
        <v>135</v>
      </c>
      <c r="B24" s="161" t="s">
        <v>255</v>
      </c>
      <c r="C24" s="162"/>
      <c r="D24" s="162"/>
      <c r="E24" s="76"/>
      <c r="F24" s="163"/>
      <c r="G24" s="163"/>
      <c r="H24" s="162"/>
      <c r="I24" s="103"/>
      <c r="J24" s="163"/>
      <c r="K24" s="101"/>
      <c r="L24" s="51"/>
      <c r="M24" s="51"/>
      <c r="N24" s="56"/>
      <c r="O24" s="51"/>
      <c r="P24" s="69"/>
      <c r="Q24" s="164">
        <v>408499</v>
      </c>
      <c r="R24" s="105">
        <f t="shared" ref="R24:R30" si="19">PRODUCT(Q24/51743.29/12)</f>
        <v>0.6578936772929076</v>
      </c>
      <c r="S24" s="106">
        <f t="shared" si="14"/>
        <v>102119.22368349852</v>
      </c>
      <c r="T24" s="107">
        <f t="shared" si="15"/>
        <v>0.65789482160618862</v>
      </c>
      <c r="U24" s="106">
        <f t="shared" si="5"/>
        <v>100426.39780029492</v>
      </c>
      <c r="V24" s="107">
        <f t="shared" si="16"/>
        <v>0.65789355014723316</v>
      </c>
      <c r="W24" s="106">
        <f t="shared" si="7"/>
        <v>106094.93472205044</v>
      </c>
      <c r="X24" s="112">
        <f t="shared" si="17"/>
        <v>0.65789922761082775</v>
      </c>
      <c r="Y24" s="106">
        <f t="shared" si="9"/>
        <v>99858.960234388287</v>
      </c>
      <c r="Z24" s="108">
        <f t="shared" si="18"/>
        <v>0.65789482160618851</v>
      </c>
      <c r="AA24" s="69">
        <v>500000</v>
      </c>
      <c r="AB24" s="165">
        <f t="shared" ref="AB24:AB28" si="20">PRODUCT(AA24/51743.29/12)</f>
        <v>0.80525739021748832</v>
      </c>
    </row>
    <row r="25" spans="1:28" ht="33" customHeight="1" x14ac:dyDescent="0.3">
      <c r="A25" s="160" t="s">
        <v>136</v>
      </c>
      <c r="B25" s="161" t="s">
        <v>225</v>
      </c>
      <c r="C25" s="101"/>
      <c r="D25" s="101"/>
      <c r="E25" s="76"/>
      <c r="F25" s="166">
        <f>[1]ЗП!F14</f>
        <v>599425.2873563217</v>
      </c>
      <c r="G25" s="166">
        <v>633899.26</v>
      </c>
      <c r="H25" s="162"/>
      <c r="I25" s="103"/>
      <c r="J25" s="163"/>
      <c r="K25" s="101">
        <f t="shared" si="12"/>
        <v>0</v>
      </c>
      <c r="L25" s="51"/>
      <c r="M25" s="51">
        <v>1677000</v>
      </c>
      <c r="N25" s="56">
        <f t="shared" ref="N25:N26" si="21">M25/39103.5*$F$7</f>
        <v>554737.11304614681</v>
      </c>
      <c r="O25" s="51"/>
      <c r="P25" s="69">
        <v>2106974.7999999998</v>
      </c>
      <c r="Q25" s="164">
        <v>5417359.3099999996</v>
      </c>
      <c r="R25" s="105">
        <f t="shared" si="19"/>
        <v>8.7247372396820264</v>
      </c>
      <c r="S25" s="106">
        <f t="shared" si="14"/>
        <v>1354266.539579713</v>
      </c>
      <c r="T25" s="107">
        <f t="shared" si="15"/>
        <v>8.7247524151321656</v>
      </c>
      <c r="U25" s="106">
        <f t="shared" si="5"/>
        <v>1331816.9226685772</v>
      </c>
      <c r="V25" s="107">
        <f t="shared" si="16"/>
        <v>8.7247355535241589</v>
      </c>
      <c r="W25" s="106">
        <f t="shared" si="7"/>
        <v>1406990.9164045497</v>
      </c>
      <c r="X25" s="108">
        <f t="shared" si="17"/>
        <v>8.7248108459000555</v>
      </c>
      <c r="Y25" s="106">
        <f t="shared" si="9"/>
        <v>1324291.7801822848</v>
      </c>
      <c r="Z25" s="108">
        <f t="shared" si="18"/>
        <v>8.7247524151321656</v>
      </c>
      <c r="AA25" s="69">
        <v>5959095</v>
      </c>
      <c r="AB25" s="165">
        <f>PRODUCT(AA25/51743.29/12)</f>
        <v>9.5972105755161685</v>
      </c>
    </row>
    <row r="26" spans="1:28" ht="31.8" customHeight="1" x14ac:dyDescent="0.3">
      <c r="A26" s="160" t="s">
        <v>137</v>
      </c>
      <c r="B26" s="161" t="s">
        <v>256</v>
      </c>
      <c r="C26" s="101"/>
      <c r="D26" s="101"/>
      <c r="E26" s="76"/>
      <c r="F26" s="163">
        <f>[1]ЗП!G14</f>
        <v>203804.59770114941</v>
      </c>
      <c r="G26" s="163">
        <v>166081.60999999999</v>
      </c>
      <c r="H26" s="162"/>
      <c r="I26" s="103"/>
      <c r="J26" s="163"/>
      <c r="K26" s="101">
        <f t="shared" si="12"/>
        <v>0</v>
      </c>
      <c r="L26" s="51"/>
      <c r="M26" s="51">
        <v>419250</v>
      </c>
      <c r="N26" s="56">
        <f t="shared" si="21"/>
        <v>138684.2782615367</v>
      </c>
      <c r="O26" s="51"/>
      <c r="P26" s="69"/>
      <c r="Q26" s="164">
        <v>1371311.5</v>
      </c>
      <c r="R26" s="105">
        <f t="shared" si="19"/>
        <v>2.2085174393304587</v>
      </c>
      <c r="S26" s="106">
        <f t="shared" si="14"/>
        <v>342809.32342124189</v>
      </c>
      <c r="T26" s="107">
        <f t="shared" si="15"/>
        <v>2.208521280735118</v>
      </c>
      <c r="U26" s="106">
        <f t="shared" si="5"/>
        <v>337126.58833220921</v>
      </c>
      <c r="V26" s="107">
        <f t="shared" si="16"/>
        <v>2.2085170125085436</v>
      </c>
      <c r="W26" s="106">
        <f t="shared" si="7"/>
        <v>356155.59420242661</v>
      </c>
      <c r="X26" s="112">
        <f t="shared" si="17"/>
        <v>2.2085360714808253</v>
      </c>
      <c r="Y26" s="106">
        <f t="shared" si="9"/>
        <v>335221.72770914825</v>
      </c>
      <c r="Z26" s="108">
        <f t="shared" si="18"/>
        <v>2.2085212807351176</v>
      </c>
      <c r="AA26" s="69">
        <f>PRODUCT(AA25,20.2/100)</f>
        <v>1203737.19</v>
      </c>
      <c r="AB26" s="165">
        <f t="shared" si="20"/>
        <v>1.9386365362542659</v>
      </c>
    </row>
    <row r="27" spans="1:28" ht="46.2" customHeight="1" x14ac:dyDescent="0.3">
      <c r="A27" s="160" t="s">
        <v>138</v>
      </c>
      <c r="B27" s="161" t="s">
        <v>274</v>
      </c>
      <c r="C27" s="162"/>
      <c r="D27" s="162"/>
      <c r="E27" s="76"/>
      <c r="F27" s="163"/>
      <c r="G27" s="163"/>
      <c r="H27" s="162"/>
      <c r="I27" s="103"/>
      <c r="J27" s="163"/>
      <c r="K27" s="101"/>
      <c r="L27" s="51"/>
      <c r="M27" s="51"/>
      <c r="N27" s="56"/>
      <c r="O27" s="51"/>
      <c r="P27" s="69">
        <v>0</v>
      </c>
      <c r="Q27" s="164">
        <v>261557</v>
      </c>
      <c r="R27" s="105">
        <f t="shared" si="19"/>
        <v>0.42124141442623125</v>
      </c>
      <c r="S27" s="106">
        <f t="shared" si="14"/>
        <v>65385.71156596423</v>
      </c>
      <c r="T27" s="107">
        <f t="shared" si="15"/>
        <v>0.42124214711627167</v>
      </c>
      <c r="U27" s="106">
        <f t="shared" si="5"/>
        <v>64301.815498818207</v>
      </c>
      <c r="V27" s="107">
        <f t="shared" si="16"/>
        <v>0.42124133301638406</v>
      </c>
      <c r="W27" s="106">
        <f t="shared" si="7"/>
        <v>67931.311560359623</v>
      </c>
      <c r="X27" s="108">
        <f t="shared" si="17"/>
        <v>0.42124496822808688</v>
      </c>
      <c r="Y27" s="106">
        <f t="shared" si="9"/>
        <v>63938.492045331557</v>
      </c>
      <c r="Z27" s="108">
        <f t="shared" si="18"/>
        <v>0.42124214711627161</v>
      </c>
      <c r="AA27" s="69">
        <v>273204</v>
      </c>
      <c r="AB27" s="165">
        <f t="shared" si="20"/>
        <v>0.43999908007395744</v>
      </c>
    </row>
    <row r="28" spans="1:28" ht="31.5" customHeight="1" thickBot="1" x14ac:dyDescent="0.35">
      <c r="A28" s="160" t="s">
        <v>139</v>
      </c>
      <c r="B28" s="161" t="s">
        <v>220</v>
      </c>
      <c r="C28" s="76"/>
      <c r="D28" s="76"/>
      <c r="E28" s="76"/>
      <c r="F28" s="163"/>
      <c r="G28" s="163"/>
      <c r="H28" s="76"/>
      <c r="I28" s="103"/>
      <c r="J28" s="163"/>
      <c r="K28" s="167"/>
      <c r="L28" s="51"/>
      <c r="M28" s="51"/>
      <c r="N28" s="56"/>
      <c r="O28" s="51"/>
      <c r="P28" s="168"/>
      <c r="Q28" s="169">
        <v>62559</v>
      </c>
      <c r="R28" s="170">
        <f t="shared" si="19"/>
        <v>0.10075219414923171</v>
      </c>
      <c r="S28" s="171">
        <f t="shared" si="14"/>
        <v>15638.903680097095</v>
      </c>
      <c r="T28" s="172">
        <f t="shared" si="15"/>
        <v>0.1007523693934662</v>
      </c>
      <c r="U28" s="171">
        <f t="shared" si="5"/>
        <v>15379.658261069548</v>
      </c>
      <c r="V28" s="172">
        <f t="shared" si="16"/>
        <v>0.10075217467768773</v>
      </c>
      <c r="W28" s="171">
        <f t="shared" si="7"/>
        <v>16247.758308531364</v>
      </c>
      <c r="X28" s="173">
        <f t="shared" si="17"/>
        <v>0.10075304414479784</v>
      </c>
      <c r="Y28" s="171">
        <f t="shared" si="9"/>
        <v>15292.758839808901</v>
      </c>
      <c r="Z28" s="174">
        <f t="shared" si="18"/>
        <v>0.10075236939346618</v>
      </c>
      <c r="AA28" s="168"/>
      <c r="AB28" s="175">
        <f t="shared" si="20"/>
        <v>0</v>
      </c>
    </row>
    <row r="29" spans="1:28" ht="20.25" customHeight="1" thickBot="1" x14ac:dyDescent="0.35">
      <c r="A29" s="176"/>
      <c r="B29" s="177" t="s">
        <v>161</v>
      </c>
      <c r="C29" s="178"/>
      <c r="D29" s="178"/>
      <c r="E29" s="178"/>
      <c r="F29" s="179"/>
      <c r="G29" s="179"/>
      <c r="H29" s="178"/>
      <c r="I29" s="180"/>
      <c r="J29" s="179">
        <f>SUM(J23:J28)</f>
        <v>0</v>
      </c>
      <c r="K29" s="181">
        <f>SUM(K23:K28)</f>
        <v>0</v>
      </c>
      <c r="L29" s="182"/>
      <c r="M29" s="182"/>
      <c r="N29" s="183"/>
      <c r="O29" s="182"/>
      <c r="P29" s="184"/>
      <c r="Q29" s="185">
        <f t="shared" ref="Q29:Z29" si="22">SUM(Q23:Q28)</f>
        <v>7521285.8099999996</v>
      </c>
      <c r="R29" s="186">
        <f t="shared" si="22"/>
        <v>12.113141964880855</v>
      </c>
      <c r="S29" s="187">
        <f t="shared" si="22"/>
        <v>1880219.7019305148</v>
      </c>
      <c r="T29" s="188">
        <f t="shared" si="22"/>
        <v>12.113163033983211</v>
      </c>
      <c r="U29" s="187">
        <f t="shared" si="22"/>
        <v>1849051.3825609691</v>
      </c>
      <c r="V29" s="188">
        <f t="shared" si="22"/>
        <v>12.113139623874007</v>
      </c>
      <c r="W29" s="187">
        <f t="shared" si="22"/>
        <v>1953420.5151979176</v>
      </c>
      <c r="X29" s="189">
        <f t="shared" si="22"/>
        <v>12.113244157364594</v>
      </c>
      <c r="Y29" s="187">
        <f t="shared" si="22"/>
        <v>1838603.7190109617</v>
      </c>
      <c r="Z29" s="188">
        <f t="shared" si="22"/>
        <v>12.113163033983211</v>
      </c>
      <c r="AA29" s="190">
        <f>SUM(AA24:AA28)</f>
        <v>7936036.1899999995</v>
      </c>
      <c r="AB29" s="191">
        <f>SUM(AB24:AB28)</f>
        <v>12.781103582061879</v>
      </c>
    </row>
    <row r="30" spans="1:28" s="4" customFormat="1" ht="18" customHeight="1" thickBot="1" x14ac:dyDescent="0.35">
      <c r="A30" s="192"/>
      <c r="B30" s="193" t="s">
        <v>16</v>
      </c>
      <c r="C30" s="194">
        <v>0.19</v>
      </c>
      <c r="D30" s="194">
        <v>0.2</v>
      </c>
      <c r="E30" s="194">
        <f>F30/$F$5/12</f>
        <v>0.25501845201648271</v>
      </c>
      <c r="F30" s="195">
        <v>36984</v>
      </c>
      <c r="G30" s="195">
        <v>34831.199999999997</v>
      </c>
      <c r="H30" s="194">
        <f>PRODUCT(G30/12/F5)</f>
        <v>0.24017409436179191</v>
      </c>
      <c r="I30" s="196">
        <f>G30/F5/12</f>
        <v>0.24017409436179191</v>
      </c>
      <c r="J30" s="197"/>
      <c r="K30" s="198">
        <f>J30/$F$5/12</f>
        <v>0</v>
      </c>
      <c r="L30" s="199"/>
      <c r="M30" s="199">
        <v>112125</v>
      </c>
      <c r="N30" s="200" t="e">
        <f>M30/$L$4*$L$5</f>
        <v>#DIV/0!</v>
      </c>
      <c r="O30" s="200" t="e">
        <f>J30-N30</f>
        <v>#DIV/0!</v>
      </c>
      <c r="P30" s="198"/>
      <c r="Q30" s="201"/>
      <c r="R30" s="202">
        <f t="shared" si="19"/>
        <v>0</v>
      </c>
      <c r="S30" s="203">
        <f t="shared" si="14"/>
        <v>0</v>
      </c>
      <c r="T30" s="204">
        <f t="shared" si="15"/>
        <v>0</v>
      </c>
      <c r="U30" s="203">
        <f t="shared" si="5"/>
        <v>0</v>
      </c>
      <c r="V30" s="204">
        <f>PRODUCT(U30/12/12720.7)</f>
        <v>0</v>
      </c>
      <c r="W30" s="203">
        <f t="shared" si="7"/>
        <v>0</v>
      </c>
      <c r="X30" s="197">
        <f t="shared" si="17"/>
        <v>0</v>
      </c>
      <c r="Y30" s="203">
        <f t="shared" si="9"/>
        <v>0</v>
      </c>
      <c r="Z30" s="197">
        <f t="shared" si="18"/>
        <v>0</v>
      </c>
      <c r="AA30" s="205"/>
      <c r="AB30" s="202">
        <f t="shared" ref="AB30" si="23">PRODUCT(AA30/51743.29/12)</f>
        <v>0</v>
      </c>
    </row>
    <row r="31" spans="1:28" s="1" customFormat="1" ht="39" customHeight="1" thickBot="1" x14ac:dyDescent="0.35">
      <c r="A31" s="206" t="s">
        <v>140</v>
      </c>
      <c r="B31" s="44" t="s">
        <v>108</v>
      </c>
      <c r="C31" s="207">
        <v>0.53</v>
      </c>
      <c r="D31" s="207">
        <v>2.0099999999999998</v>
      </c>
      <c r="E31" s="207">
        <f>F31/$F$7/12</f>
        <v>2.6986004489077522</v>
      </c>
      <c r="F31" s="208">
        <f>SUM(F32:F47)</f>
        <v>418880</v>
      </c>
      <c r="G31" s="208">
        <f>SUM(G32:G47)</f>
        <v>425746.43999999994</v>
      </c>
      <c r="H31" s="207">
        <f>PRODUCT(G31/12/F7)</f>
        <v>2.7428369320685571</v>
      </c>
      <c r="I31" s="209">
        <f t="shared" si="11"/>
        <v>2.7428369320685575</v>
      </c>
      <c r="J31" s="208"/>
      <c r="K31" s="210"/>
      <c r="L31" s="147"/>
      <c r="M31" s="147"/>
      <c r="N31" s="145">
        <f>M31/$K$4*$K$5</f>
        <v>0</v>
      </c>
      <c r="O31" s="145"/>
      <c r="P31" s="210"/>
      <c r="Q31" s="211"/>
      <c r="R31" s="211"/>
      <c r="S31" s="212"/>
      <c r="T31" s="211"/>
      <c r="U31" s="212"/>
      <c r="V31" s="211"/>
      <c r="W31" s="212"/>
      <c r="X31" s="211"/>
      <c r="Y31" s="212"/>
      <c r="Z31" s="211"/>
      <c r="AA31" s="213"/>
      <c r="AB31" s="214">
        <f>PRODUCT(AA31/12/51743.29)</f>
        <v>0</v>
      </c>
    </row>
    <row r="32" spans="1:28" ht="39" customHeight="1" x14ac:dyDescent="0.3">
      <c r="A32" s="160" t="s">
        <v>141</v>
      </c>
      <c r="B32" s="215" t="s">
        <v>257</v>
      </c>
      <c r="C32" s="154"/>
      <c r="D32" s="154"/>
      <c r="E32" s="155"/>
      <c r="F32" s="156">
        <v>84000</v>
      </c>
      <c r="G32" s="156">
        <v>45421.16</v>
      </c>
      <c r="H32" s="157"/>
      <c r="I32" s="103"/>
      <c r="J32" s="156"/>
      <c r="K32" s="110">
        <f t="shared" si="12"/>
        <v>0</v>
      </c>
      <c r="L32" s="51"/>
      <c r="M32" s="51">
        <v>135000</v>
      </c>
      <c r="N32" s="103">
        <f t="shared" ref="N32:N47" si="24">M32/$K$4*$K$5</f>
        <v>138055.66535955982</v>
      </c>
      <c r="O32" s="103">
        <f>J32-N32</f>
        <v>-138055.66535955982</v>
      </c>
      <c r="P32" s="110"/>
      <c r="Q32" s="158">
        <v>743105</v>
      </c>
      <c r="R32" s="105">
        <f t="shared" ref="R32:R46" si="25">PRODUCT(Q32/51743.29/12)</f>
        <v>1.1967815859151334</v>
      </c>
      <c r="S32" s="106">
        <f t="shared" si="14"/>
        <v>185766.19701719261</v>
      </c>
      <c r="T32" s="107">
        <f t="shared" ref="T32:T46" si="26">PRODUCT(S32/12/12935.1)</f>
        <v>1.196783667547942</v>
      </c>
      <c r="U32" s="106">
        <f t="shared" si="5"/>
        <v>182686.7589330406</v>
      </c>
      <c r="V32" s="107">
        <f t="shared" ref="V32:V46" si="27">PRODUCT(U32/12/12720.7)</f>
        <v>1.1967813546230461</v>
      </c>
      <c r="W32" s="106">
        <f t="shared" si="7"/>
        <v>192998.45646287821</v>
      </c>
      <c r="X32" s="108">
        <f t="shared" ref="X32:X46" si="28">PRODUCT(W32/12/13438.6)</f>
        <v>1.196791682559184</v>
      </c>
      <c r="Y32" s="106">
        <f t="shared" si="9"/>
        <v>181654.52704896487</v>
      </c>
      <c r="Z32" s="108">
        <f t="shared" ref="Z32:Z46" si="29">PRODUCT(Y32/12/12648.8)</f>
        <v>1.1967836675479417</v>
      </c>
      <c r="AA32" s="157">
        <v>750000</v>
      </c>
      <c r="AB32" s="165">
        <f t="shared" ref="AB32:AB46" si="30">PRODUCT(AA32/51743.29/12)</f>
        <v>1.2078860853262328</v>
      </c>
    </row>
    <row r="33" spans="1:28" ht="46.5" customHeight="1" x14ac:dyDescent="0.3">
      <c r="A33" s="160" t="s">
        <v>163</v>
      </c>
      <c r="B33" s="216"/>
      <c r="C33" s="162"/>
      <c r="D33" s="162"/>
      <c r="E33" s="76"/>
      <c r="F33" s="163"/>
      <c r="G33" s="163">
        <v>680</v>
      </c>
      <c r="H33" s="69"/>
      <c r="I33" s="103"/>
      <c r="J33" s="163"/>
      <c r="K33" s="101">
        <f t="shared" si="12"/>
        <v>0</v>
      </c>
      <c r="L33" s="51"/>
      <c r="M33" s="51">
        <v>2040</v>
      </c>
      <c r="N33" s="103">
        <f t="shared" si="24"/>
        <v>2086.1744987666816</v>
      </c>
      <c r="O33" s="103">
        <f t="shared" ref="O33" si="31">J33-N33</f>
        <v>-2086.1744987666816</v>
      </c>
      <c r="P33" s="101"/>
      <c r="Q33" s="164">
        <v>0</v>
      </c>
      <c r="R33" s="105">
        <f t="shared" si="25"/>
        <v>0</v>
      </c>
      <c r="S33" s="106">
        <f t="shared" si="14"/>
        <v>0</v>
      </c>
      <c r="T33" s="107">
        <f t="shared" si="26"/>
        <v>0</v>
      </c>
      <c r="U33" s="106">
        <f t="shared" si="5"/>
        <v>0</v>
      </c>
      <c r="V33" s="107">
        <f t="shared" si="27"/>
        <v>0</v>
      </c>
      <c r="W33" s="106">
        <f t="shared" si="7"/>
        <v>0</v>
      </c>
      <c r="X33" s="112">
        <f t="shared" si="28"/>
        <v>0</v>
      </c>
      <c r="Y33" s="106">
        <f t="shared" si="9"/>
        <v>0</v>
      </c>
      <c r="Z33" s="108">
        <f t="shared" si="29"/>
        <v>0</v>
      </c>
      <c r="AA33" s="69">
        <v>107693</v>
      </c>
      <c r="AB33" s="165">
        <f t="shared" si="30"/>
        <v>0.17344116824938396</v>
      </c>
    </row>
    <row r="34" spans="1:28" ht="26.4" customHeight="1" x14ac:dyDescent="0.3">
      <c r="A34" s="160" t="s">
        <v>164</v>
      </c>
      <c r="B34" s="216"/>
      <c r="C34" s="162"/>
      <c r="D34" s="162"/>
      <c r="E34" s="76"/>
      <c r="F34" s="163"/>
      <c r="G34" s="163">
        <v>2654</v>
      </c>
      <c r="H34" s="69"/>
      <c r="I34" s="103"/>
      <c r="J34" s="163"/>
      <c r="K34" s="101">
        <f t="shared" si="12"/>
        <v>0</v>
      </c>
      <c r="L34" s="51"/>
      <c r="M34" s="51">
        <v>30000</v>
      </c>
      <c r="N34" s="103">
        <f t="shared" si="24"/>
        <v>30679.036746568843</v>
      </c>
      <c r="O34" s="103">
        <f>J34-N34</f>
        <v>-30679.036746568843</v>
      </c>
      <c r="P34" s="101"/>
      <c r="Q34" s="164">
        <v>0</v>
      </c>
      <c r="R34" s="105">
        <f t="shared" si="25"/>
        <v>0</v>
      </c>
      <c r="S34" s="106">
        <f t="shared" si="14"/>
        <v>0</v>
      </c>
      <c r="T34" s="107">
        <f t="shared" si="26"/>
        <v>0</v>
      </c>
      <c r="U34" s="106">
        <f t="shared" si="5"/>
        <v>0</v>
      </c>
      <c r="V34" s="107">
        <f t="shared" si="27"/>
        <v>0</v>
      </c>
      <c r="W34" s="106">
        <f t="shared" si="7"/>
        <v>0</v>
      </c>
      <c r="X34" s="108">
        <f t="shared" si="28"/>
        <v>0</v>
      </c>
      <c r="Y34" s="106">
        <f t="shared" si="9"/>
        <v>0</v>
      </c>
      <c r="Z34" s="108">
        <f t="shared" si="29"/>
        <v>0</v>
      </c>
      <c r="AA34" s="69">
        <v>6000</v>
      </c>
      <c r="AB34" s="165">
        <f t="shared" si="30"/>
        <v>9.6630886826098612E-3</v>
      </c>
    </row>
    <row r="35" spans="1:28" ht="37.799999999999997" customHeight="1" x14ac:dyDescent="0.3">
      <c r="A35" s="160" t="s">
        <v>165</v>
      </c>
      <c r="B35" s="161" t="s">
        <v>258</v>
      </c>
      <c r="C35" s="162"/>
      <c r="D35" s="162"/>
      <c r="E35" s="76"/>
      <c r="F35" s="163">
        <v>13800</v>
      </c>
      <c r="G35" s="163">
        <v>18109.66</v>
      </c>
      <c r="H35" s="162"/>
      <c r="I35" s="103"/>
      <c r="J35" s="163"/>
      <c r="K35" s="101">
        <f t="shared" si="12"/>
        <v>0</v>
      </c>
      <c r="L35" s="51"/>
      <c r="M35" s="51">
        <v>34308</v>
      </c>
      <c r="N35" s="56">
        <f>M35/39103.5*$F$7</f>
        <v>11348.790026468219</v>
      </c>
      <c r="O35" s="217"/>
      <c r="P35" s="218"/>
      <c r="Q35" s="164">
        <v>69482</v>
      </c>
      <c r="R35" s="105">
        <f t="shared" si="25"/>
        <v>0.11190178797418306</v>
      </c>
      <c r="S35" s="106">
        <f t="shared" si="14"/>
        <v>17369.560023346065</v>
      </c>
      <c r="T35" s="107">
        <f t="shared" si="26"/>
        <v>0.11190198261156378</v>
      </c>
      <c r="U35" s="106">
        <f t="shared" si="5"/>
        <v>17081.625590173026</v>
      </c>
      <c r="V35" s="107">
        <f t="shared" si="27"/>
        <v>0.11190176634784919</v>
      </c>
      <c r="W35" s="106">
        <f t="shared" si="7"/>
        <v>18045.792656426351</v>
      </c>
      <c r="X35" s="112">
        <f t="shared" si="28"/>
        <v>0.11190273203326209</v>
      </c>
      <c r="Y35" s="106">
        <f t="shared" si="9"/>
        <v>16985.109571885772</v>
      </c>
      <c r="Z35" s="108">
        <f t="shared" si="29"/>
        <v>0.11190198261156377</v>
      </c>
      <c r="AA35" s="69">
        <v>69000</v>
      </c>
      <c r="AB35" s="165">
        <f t="shared" si="30"/>
        <v>0.1111255198500134</v>
      </c>
    </row>
    <row r="36" spans="1:28" ht="39" customHeight="1" x14ac:dyDescent="0.3">
      <c r="A36" s="160" t="s">
        <v>166</v>
      </c>
      <c r="B36" s="161" t="s">
        <v>259</v>
      </c>
      <c r="C36" s="162"/>
      <c r="D36" s="162"/>
      <c r="E36" s="76"/>
      <c r="F36" s="163"/>
      <c r="G36" s="163">
        <v>13909.71</v>
      </c>
      <c r="H36" s="162"/>
      <c r="I36" s="103"/>
      <c r="J36" s="163"/>
      <c r="K36" s="101"/>
      <c r="L36" s="217"/>
      <c r="M36" s="51"/>
      <c r="N36" s="56"/>
      <c r="O36" s="51"/>
      <c r="P36" s="69"/>
      <c r="Q36" s="164">
        <v>9020</v>
      </c>
      <c r="R36" s="105">
        <f t="shared" si="25"/>
        <v>1.452684331952349E-2</v>
      </c>
      <c r="S36" s="106">
        <f t="shared" si="14"/>
        <v>2254.8779743038704</v>
      </c>
      <c r="T36" s="107">
        <f t="shared" si="26"/>
        <v>1.4526868586918991E-2</v>
      </c>
      <c r="U36" s="106">
        <f t="shared" si="5"/>
        <v>2217.4989612181676</v>
      </c>
      <c r="V36" s="107">
        <f t="shared" si="27"/>
        <v>1.4526840512040529E-2</v>
      </c>
      <c r="W36" s="106">
        <f t="shared" si="7"/>
        <v>2342.6650033241085</v>
      </c>
      <c r="X36" s="108">
        <f t="shared" si="28"/>
        <v>1.4526965875191044E-2</v>
      </c>
      <c r="Y36" s="106">
        <f t="shared" si="9"/>
        <v>2204.9694645866512</v>
      </c>
      <c r="Z36" s="108">
        <f t="shared" si="29"/>
        <v>1.4526868586918991E-2</v>
      </c>
      <c r="AA36" s="69">
        <v>10000</v>
      </c>
      <c r="AB36" s="165">
        <f t="shared" si="30"/>
        <v>1.6105147804349768E-2</v>
      </c>
    </row>
    <row r="37" spans="1:28" ht="24" customHeight="1" x14ac:dyDescent="0.3">
      <c r="A37" s="160" t="s">
        <v>167</v>
      </c>
      <c r="B37" s="161" t="s">
        <v>260</v>
      </c>
      <c r="C37" s="162"/>
      <c r="D37" s="162"/>
      <c r="E37" s="76"/>
      <c r="F37" s="163">
        <f>39700/2</f>
        <v>19850</v>
      </c>
      <c r="G37" s="163">
        <v>29993.26</v>
      </c>
      <c r="H37" s="162"/>
      <c r="I37" s="103"/>
      <c r="J37" s="163"/>
      <c r="K37" s="101">
        <f t="shared" ref="K37:K38" si="32">J37/$F$7/12</f>
        <v>0</v>
      </c>
      <c r="L37" s="51"/>
      <c r="M37" s="51">
        <v>50600</v>
      </c>
      <c r="N37" s="56">
        <f t="shared" ref="N37:N38" si="33">M37/39103.5*$F$7</f>
        <v>16738.042886186657</v>
      </c>
      <c r="O37" s="51"/>
      <c r="P37" s="69"/>
      <c r="Q37" s="164">
        <v>30538</v>
      </c>
      <c r="R37" s="105">
        <f t="shared" si="25"/>
        <v>4.9181900364923321E-2</v>
      </c>
      <c r="S37" s="106">
        <f t="shared" si="14"/>
        <v>7634.0868713183572</v>
      </c>
      <c r="T37" s="107">
        <f t="shared" si="26"/>
        <v>4.9181985909903789E-2</v>
      </c>
      <c r="U37" s="106">
        <f t="shared" si="5"/>
        <v>7507.5369487450553</v>
      </c>
      <c r="V37" s="107">
        <f t="shared" si="27"/>
        <v>4.9181890859943865E-2</v>
      </c>
      <c r="W37" s="106">
        <f t="shared" si="7"/>
        <v>7931.2975467307788</v>
      </c>
      <c r="X37" s="112">
        <f t="shared" si="28"/>
        <v>4.9182315287869635E-2</v>
      </c>
      <c r="Y37" s="106">
        <f t="shared" si="9"/>
        <v>7465.1172405262914</v>
      </c>
      <c r="Z37" s="108">
        <f t="shared" si="29"/>
        <v>4.9181985909903782E-2</v>
      </c>
      <c r="AA37" s="69">
        <v>30000</v>
      </c>
      <c r="AB37" s="165">
        <f t="shared" si="30"/>
        <v>4.8315443413049303E-2</v>
      </c>
    </row>
    <row r="38" spans="1:28" ht="39" customHeight="1" x14ac:dyDescent="0.3">
      <c r="A38" s="160" t="s">
        <v>168</v>
      </c>
      <c r="B38" s="161" t="s">
        <v>261</v>
      </c>
      <c r="C38" s="162"/>
      <c r="D38" s="162"/>
      <c r="E38" s="76"/>
      <c r="F38" s="163">
        <v>57510</v>
      </c>
      <c r="G38" s="163">
        <v>88800</v>
      </c>
      <c r="H38" s="162"/>
      <c r="I38" s="103"/>
      <c r="J38" s="163"/>
      <c r="K38" s="101">
        <f t="shared" si="32"/>
        <v>0</v>
      </c>
      <c r="L38" s="51"/>
      <c r="M38" s="51">
        <f>(9585+9840)*12</f>
        <v>233100</v>
      </c>
      <c r="N38" s="56">
        <f t="shared" si="33"/>
        <v>77107.466339330233</v>
      </c>
      <c r="O38" s="51"/>
      <c r="P38" s="69"/>
      <c r="Q38" s="164">
        <v>118080</v>
      </c>
      <c r="R38" s="105">
        <f t="shared" si="25"/>
        <v>0.19016958527376207</v>
      </c>
      <c r="S38" s="106">
        <f t="shared" si="14"/>
        <v>29518.40257270521</v>
      </c>
      <c r="T38" s="107">
        <f t="shared" si="26"/>
        <v>0.1901699160469395</v>
      </c>
      <c r="U38" s="106">
        <f t="shared" si="5"/>
        <v>29029.077310492372</v>
      </c>
      <c r="V38" s="107">
        <f t="shared" si="27"/>
        <v>0.19016954852125781</v>
      </c>
      <c r="W38" s="106">
        <f t="shared" si="7"/>
        <v>30667.614588970147</v>
      </c>
      <c r="X38" s="112">
        <f t="shared" si="28"/>
        <v>0.19017118963886459</v>
      </c>
      <c r="Y38" s="106">
        <f t="shared" si="9"/>
        <v>28865.054809134341</v>
      </c>
      <c r="Z38" s="108">
        <f t="shared" si="29"/>
        <v>0.1901699160469395</v>
      </c>
      <c r="AA38" s="69">
        <v>118800</v>
      </c>
      <c r="AB38" s="165">
        <f t="shared" si="30"/>
        <v>0.19132915591567523</v>
      </c>
    </row>
    <row r="39" spans="1:28" ht="40.799999999999997" customHeight="1" x14ac:dyDescent="0.3">
      <c r="A39" s="160" t="s">
        <v>169</v>
      </c>
      <c r="B39" s="161" t="s">
        <v>262</v>
      </c>
      <c r="C39" s="162"/>
      <c r="D39" s="162"/>
      <c r="E39" s="76"/>
      <c r="F39" s="163"/>
      <c r="G39" s="163"/>
      <c r="H39" s="162"/>
      <c r="I39" s="103"/>
      <c r="J39" s="163"/>
      <c r="K39" s="101"/>
      <c r="L39" s="51"/>
      <c r="M39" s="51"/>
      <c r="N39" s="56"/>
      <c r="O39" s="51"/>
      <c r="P39" s="69"/>
      <c r="Q39" s="105">
        <v>598000</v>
      </c>
      <c r="R39" s="105">
        <f t="shared" si="25"/>
        <v>0.96308783870011616</v>
      </c>
      <c r="S39" s="106">
        <f t="shared" si="14"/>
        <v>149491.91004808364</v>
      </c>
      <c r="T39" s="107">
        <f t="shared" si="26"/>
        <v>0.96308951385560493</v>
      </c>
      <c r="U39" s="106">
        <f t="shared" si="5"/>
        <v>147013.78922488514</v>
      </c>
      <c r="V39" s="107">
        <f t="shared" si="27"/>
        <v>0.96308765257208806</v>
      </c>
      <c r="W39" s="106">
        <f t="shared" si="7"/>
        <v>155311.93702747417</v>
      </c>
      <c r="X39" s="108">
        <f t="shared" si="28"/>
        <v>0.96309596378761031</v>
      </c>
      <c r="Y39" s="106">
        <f t="shared" si="9"/>
        <v>146183.11971428132</v>
      </c>
      <c r="Z39" s="108">
        <f t="shared" si="29"/>
        <v>0.96308951385560515</v>
      </c>
      <c r="AA39" s="69">
        <v>598000</v>
      </c>
      <c r="AB39" s="165">
        <f t="shared" si="30"/>
        <v>0.96308783870011616</v>
      </c>
    </row>
    <row r="40" spans="1:28" ht="57.6" customHeight="1" x14ac:dyDescent="0.3">
      <c r="A40" s="160" t="s">
        <v>170</v>
      </c>
      <c r="B40" s="161" t="s">
        <v>263</v>
      </c>
      <c r="C40" s="162"/>
      <c r="D40" s="162"/>
      <c r="E40" s="76"/>
      <c r="F40" s="163">
        <f>28440/2</f>
        <v>14220</v>
      </c>
      <c r="G40" s="163">
        <v>27443.85</v>
      </c>
      <c r="H40" s="162"/>
      <c r="I40" s="103"/>
      <c r="J40" s="163"/>
      <c r="K40" s="101">
        <f t="shared" ref="K40" si="34">J40/$F$7/12</f>
        <v>0</v>
      </c>
      <c r="L40" s="51"/>
      <c r="M40" s="51">
        <v>36800</v>
      </c>
      <c r="N40" s="56">
        <f t="shared" ref="N40" si="35">M40/39103.5*$F$7</f>
        <v>12173.122099044842</v>
      </c>
      <c r="O40" s="51"/>
      <c r="P40" s="69"/>
      <c r="Q40" s="164">
        <v>65126</v>
      </c>
      <c r="R40" s="105">
        <f t="shared" si="25"/>
        <v>0.1048863855906083</v>
      </c>
      <c r="S40" s="106">
        <f t="shared" si="14"/>
        <v>16280.618952828587</v>
      </c>
      <c r="T40" s="107">
        <f t="shared" si="26"/>
        <v>0.10488656802568584</v>
      </c>
      <c r="U40" s="106">
        <f t="shared" si="5"/>
        <v>16010.735847926206</v>
      </c>
      <c r="V40" s="107">
        <f t="shared" si="27"/>
        <v>0.10488636532008332</v>
      </c>
      <c r="W40" s="106">
        <f t="shared" si="7"/>
        <v>16914.456874333249</v>
      </c>
      <c r="X40" s="112">
        <f t="shared" si="28"/>
        <v>0.10488727046426742</v>
      </c>
      <c r="Y40" s="106">
        <f t="shared" si="9"/>
        <v>15920.270659719539</v>
      </c>
      <c r="Z40" s="108">
        <f t="shared" si="29"/>
        <v>0.10488656802568584</v>
      </c>
      <c r="AA40" s="69">
        <v>70000</v>
      </c>
      <c r="AB40" s="165">
        <f t="shared" si="30"/>
        <v>0.11273603463044839</v>
      </c>
    </row>
    <row r="41" spans="1:28" ht="48" customHeight="1" x14ac:dyDescent="0.3">
      <c r="A41" s="160" t="s">
        <v>171</v>
      </c>
      <c r="B41" s="216" t="s">
        <v>264</v>
      </c>
      <c r="C41" s="162"/>
      <c r="D41" s="162"/>
      <c r="E41" s="76"/>
      <c r="F41" s="163"/>
      <c r="G41" s="163"/>
      <c r="H41" s="69"/>
      <c r="I41" s="103"/>
      <c r="J41" s="163"/>
      <c r="K41" s="101"/>
      <c r="L41" s="51"/>
      <c r="M41" s="51"/>
      <c r="N41" s="103"/>
      <c r="O41" s="103"/>
      <c r="P41" s="101"/>
      <c r="Q41" s="164">
        <v>62104</v>
      </c>
      <c r="R41" s="105">
        <f t="shared" si="25"/>
        <v>0.10001940992413379</v>
      </c>
      <c r="S41" s="106">
        <f t="shared" si="14"/>
        <v>15525.159835495293</v>
      </c>
      <c r="T41" s="107">
        <f t="shared" si="26"/>
        <v>0.10001958389379345</v>
      </c>
      <c r="U41" s="106">
        <f t="shared" si="5"/>
        <v>15267.799943181048</v>
      </c>
      <c r="V41" s="107">
        <f t="shared" si="27"/>
        <v>0.10001939059420896</v>
      </c>
      <c r="W41" s="106">
        <f t="shared" si="7"/>
        <v>16129.586182532197</v>
      </c>
      <c r="X41" s="112">
        <f t="shared" si="28"/>
        <v>0.10002025373756812</v>
      </c>
      <c r="Y41" s="106">
        <f t="shared" si="9"/>
        <v>15181.532553069774</v>
      </c>
      <c r="Z41" s="108">
        <f t="shared" si="29"/>
        <v>0.10001958389379344</v>
      </c>
      <c r="AA41" s="69">
        <v>68314</v>
      </c>
      <c r="AB41" s="165">
        <f t="shared" si="30"/>
        <v>0.11002070671063501</v>
      </c>
    </row>
    <row r="42" spans="1:28" ht="21.6" customHeight="1" x14ac:dyDescent="0.3">
      <c r="A42" s="160" t="s">
        <v>175</v>
      </c>
      <c r="B42" s="216" t="s">
        <v>273</v>
      </c>
      <c r="C42" s="162"/>
      <c r="D42" s="162"/>
      <c r="E42" s="76"/>
      <c r="F42" s="163"/>
      <c r="G42" s="163">
        <v>680</v>
      </c>
      <c r="H42" s="69"/>
      <c r="I42" s="103"/>
      <c r="J42" s="163"/>
      <c r="K42" s="101">
        <f t="shared" si="12"/>
        <v>0</v>
      </c>
      <c r="L42" s="51"/>
      <c r="M42" s="51">
        <v>2040</v>
      </c>
      <c r="N42" s="103">
        <f t="shared" si="24"/>
        <v>2086.1744987666816</v>
      </c>
      <c r="O42" s="103">
        <f t="shared" ref="O42:O47" si="36">J42-N42</f>
        <v>-2086.1744987666816</v>
      </c>
      <c r="P42" s="101"/>
      <c r="Q42" s="164">
        <v>77463.5</v>
      </c>
      <c r="R42" s="105">
        <f t="shared" si="25"/>
        <v>0.12475611169422483</v>
      </c>
      <c r="S42" s="106">
        <f t="shared" si="14"/>
        <v>19364.827046839007</v>
      </c>
      <c r="T42" s="107">
        <f t="shared" si="26"/>
        <v>0.12475632868988906</v>
      </c>
      <c r="U42" s="106">
        <f t="shared" si="5"/>
        <v>19043.817159902828</v>
      </c>
      <c r="V42" s="107">
        <f t="shared" si="27"/>
        <v>0.12475608758364207</v>
      </c>
      <c r="W42" s="106">
        <f t="shared" si="7"/>
        <v>20118.739521618299</v>
      </c>
      <c r="X42" s="112">
        <f t="shared" si="28"/>
        <v>0.12475716419876511</v>
      </c>
      <c r="Y42" s="106">
        <f t="shared" si="9"/>
        <v>18936.214203992022</v>
      </c>
      <c r="Z42" s="108">
        <f t="shared" si="29"/>
        <v>0.12475632868988905</v>
      </c>
      <c r="AA42" s="69">
        <v>10000</v>
      </c>
      <c r="AB42" s="165">
        <f t="shared" si="30"/>
        <v>1.6105147804349768E-2</v>
      </c>
    </row>
    <row r="43" spans="1:28" ht="28.8" customHeight="1" x14ac:dyDescent="0.3">
      <c r="A43" s="160" t="s">
        <v>172</v>
      </c>
      <c r="B43" s="216" t="s">
        <v>242</v>
      </c>
      <c r="C43" s="162"/>
      <c r="D43" s="162"/>
      <c r="E43" s="76"/>
      <c r="F43" s="163"/>
      <c r="G43" s="163">
        <v>6252</v>
      </c>
      <c r="H43" s="69"/>
      <c r="I43" s="103"/>
      <c r="J43" s="163"/>
      <c r="K43" s="101">
        <f t="shared" si="12"/>
        <v>0</v>
      </c>
      <c r="L43" s="51"/>
      <c r="M43" s="51">
        <v>78000</v>
      </c>
      <c r="N43" s="103">
        <f t="shared" si="24"/>
        <v>79765.495541078999</v>
      </c>
      <c r="O43" s="103">
        <f t="shared" si="36"/>
        <v>-79765.495541078999</v>
      </c>
      <c r="P43" s="101"/>
      <c r="Q43" s="164">
        <v>179763.95</v>
      </c>
      <c r="R43" s="105">
        <f t="shared" si="25"/>
        <v>0.28951249846437416</v>
      </c>
      <c r="S43" s="106">
        <f t="shared" si="14"/>
        <v>44938.555590782948</v>
      </c>
      <c r="T43" s="107">
        <f t="shared" si="26"/>
        <v>0.28951300203054059</v>
      </c>
      <c r="U43" s="106">
        <f t="shared" si="5"/>
        <v>44193.611129653509</v>
      </c>
      <c r="V43" s="107">
        <f t="shared" si="27"/>
        <v>0.28951244251268604</v>
      </c>
      <c r="W43" s="106">
        <f t="shared" si="7"/>
        <v>46688.105823093669</v>
      </c>
      <c r="X43" s="108">
        <f t="shared" si="28"/>
        <v>0.28951494093564845</v>
      </c>
      <c r="Y43" s="106">
        <f t="shared" si="9"/>
        <v>43943.904721006824</v>
      </c>
      <c r="Z43" s="108">
        <f t="shared" si="29"/>
        <v>0.28951300203054059</v>
      </c>
      <c r="AA43" s="69"/>
      <c r="AB43" s="165">
        <f t="shared" si="30"/>
        <v>0</v>
      </c>
    </row>
    <row r="44" spans="1:28" ht="43.2" customHeight="1" x14ac:dyDescent="0.3">
      <c r="A44" s="160" t="s">
        <v>173</v>
      </c>
      <c r="B44" s="216" t="s">
        <v>265</v>
      </c>
      <c r="C44" s="162"/>
      <c r="D44" s="162"/>
      <c r="E44" s="76"/>
      <c r="F44" s="163"/>
      <c r="G44" s="163">
        <v>3050</v>
      </c>
      <c r="H44" s="69"/>
      <c r="I44" s="103"/>
      <c r="J44" s="163"/>
      <c r="K44" s="101">
        <f t="shared" si="12"/>
        <v>0</v>
      </c>
      <c r="L44" s="51"/>
      <c r="M44" s="51">
        <v>30000</v>
      </c>
      <c r="N44" s="103">
        <f t="shared" si="24"/>
        <v>30679.036746568843</v>
      </c>
      <c r="O44" s="103">
        <f t="shared" si="36"/>
        <v>-30679.036746568843</v>
      </c>
      <c r="P44" s="101"/>
      <c r="Q44" s="164">
        <v>1642788</v>
      </c>
      <c r="R44" s="105">
        <f t="shared" si="25"/>
        <v>2.6457343551212147</v>
      </c>
      <c r="S44" s="106">
        <f t="shared" si="14"/>
        <v>410674.77579276124</v>
      </c>
      <c r="T44" s="107">
        <f t="shared" si="26"/>
        <v>2.6457389570030458</v>
      </c>
      <c r="U44" s="106">
        <f t="shared" si="5"/>
        <v>403867.03808222513</v>
      </c>
      <c r="V44" s="107">
        <f t="shared" si="27"/>
        <v>2.6457338438019993</v>
      </c>
      <c r="W44" s="106">
        <f t="shared" si="7"/>
        <v>426663.18796904717</v>
      </c>
      <c r="X44" s="112">
        <f t="shared" si="28"/>
        <v>2.6457566758507034</v>
      </c>
      <c r="Y44" s="106">
        <f t="shared" si="9"/>
        <v>401585.07503208151</v>
      </c>
      <c r="Z44" s="108">
        <f t="shared" si="29"/>
        <v>2.6457389570030458</v>
      </c>
      <c r="AA44" s="69">
        <v>250000</v>
      </c>
      <c r="AB44" s="165">
        <f t="shared" si="30"/>
        <v>0.40262869510874416</v>
      </c>
    </row>
    <row r="45" spans="1:28" ht="25.8" customHeight="1" x14ac:dyDescent="0.3">
      <c r="A45" s="219" t="s">
        <v>174</v>
      </c>
      <c r="B45" s="220" t="s">
        <v>266</v>
      </c>
      <c r="C45" s="162"/>
      <c r="D45" s="162"/>
      <c r="E45" s="162"/>
      <c r="F45" s="166">
        <v>20000</v>
      </c>
      <c r="G45" s="166">
        <v>15437.5</v>
      </c>
      <c r="H45" s="69"/>
      <c r="I45" s="103"/>
      <c r="J45" s="166"/>
      <c r="K45" s="101">
        <f t="shared" si="12"/>
        <v>0</v>
      </c>
      <c r="L45" s="51"/>
      <c r="M45" s="51">
        <v>46500</v>
      </c>
      <c r="N45" s="103">
        <f t="shared" si="24"/>
        <v>47552.506957181715</v>
      </c>
      <c r="O45" s="103">
        <f t="shared" si="36"/>
        <v>-47552.506957181715</v>
      </c>
      <c r="P45" s="101"/>
      <c r="Q45" s="164">
        <v>56000</v>
      </c>
      <c r="R45" s="105">
        <f t="shared" si="25"/>
        <v>9.0188827704358709E-2</v>
      </c>
      <c r="S45" s="106">
        <f t="shared" si="14"/>
        <v>13999.242412529571</v>
      </c>
      <c r="T45" s="107">
        <f t="shared" si="26"/>
        <v>9.0188984575106823E-2</v>
      </c>
      <c r="U45" s="106">
        <f t="shared" si="5"/>
        <v>13767.177586276872</v>
      </c>
      <c r="V45" s="107">
        <f t="shared" si="27"/>
        <v>9.0188810274309278E-2</v>
      </c>
      <c r="W45" s="106">
        <f t="shared" si="7"/>
        <v>14544.261661435708</v>
      </c>
      <c r="X45" s="108">
        <f t="shared" si="28"/>
        <v>9.0189588582117355E-2</v>
      </c>
      <c r="Y45" s="106">
        <f t="shared" si="9"/>
        <v>13689.389137123333</v>
      </c>
      <c r="Z45" s="108">
        <f t="shared" si="29"/>
        <v>9.0188984575106823E-2</v>
      </c>
      <c r="AA45" s="69">
        <v>110000</v>
      </c>
      <c r="AB45" s="165">
        <f t="shared" si="30"/>
        <v>0.17715662584784744</v>
      </c>
    </row>
    <row r="46" spans="1:28" ht="30" customHeight="1" x14ac:dyDescent="0.3">
      <c r="A46" s="160" t="s">
        <v>176</v>
      </c>
      <c r="B46" s="161" t="s">
        <v>30</v>
      </c>
      <c r="C46" s="162"/>
      <c r="D46" s="162"/>
      <c r="E46" s="76"/>
      <c r="F46" s="163">
        <v>149500</v>
      </c>
      <c r="G46" s="163">
        <v>69123.58</v>
      </c>
      <c r="H46" s="69"/>
      <c r="I46" s="103"/>
      <c r="J46" s="163"/>
      <c r="K46" s="101">
        <f t="shared" si="12"/>
        <v>0</v>
      </c>
      <c r="L46" s="51"/>
      <c r="M46" s="51">
        <v>448500</v>
      </c>
      <c r="N46" s="103">
        <f t="shared" si="24"/>
        <v>458651.59936120431</v>
      </c>
      <c r="O46" s="103">
        <f t="shared" si="36"/>
        <v>-458651.59936120431</v>
      </c>
      <c r="P46" s="101"/>
      <c r="Q46" s="164">
        <v>44868</v>
      </c>
      <c r="R46" s="105">
        <f t="shared" si="25"/>
        <v>7.2260577168556536E-2</v>
      </c>
      <c r="S46" s="106">
        <f t="shared" si="14"/>
        <v>11216.393010096013</v>
      </c>
      <c r="T46" s="107">
        <f t="shared" si="26"/>
        <v>7.2260702855640943E-2</v>
      </c>
      <c r="U46" s="106">
        <f t="shared" si="5"/>
        <v>11030.459356090547</v>
      </c>
      <c r="V46" s="107">
        <f t="shared" si="27"/>
        <v>7.2260563203351932E-2</v>
      </c>
      <c r="W46" s="106">
        <f t="shared" si="7"/>
        <v>11653.07021830888</v>
      </c>
      <c r="X46" s="112">
        <f t="shared" si="28"/>
        <v>7.2261186794686447E-2</v>
      </c>
      <c r="Y46" s="106">
        <f t="shared" si="9"/>
        <v>10968.134139365173</v>
      </c>
      <c r="Z46" s="108">
        <f t="shared" si="29"/>
        <v>7.2260702855640943E-2</v>
      </c>
      <c r="AA46" s="69">
        <v>45000</v>
      </c>
      <c r="AB46" s="165">
        <f t="shared" si="30"/>
        <v>7.2473165119573954E-2</v>
      </c>
    </row>
    <row r="47" spans="1:28" ht="25.5" customHeight="1" thickBot="1" x14ac:dyDescent="0.35">
      <c r="A47" s="221"/>
      <c r="B47" s="222" t="s">
        <v>162</v>
      </c>
      <c r="C47" s="191"/>
      <c r="D47" s="191"/>
      <c r="E47" s="191"/>
      <c r="F47" s="223">
        <v>60000</v>
      </c>
      <c r="G47" s="223">
        <v>104191.72</v>
      </c>
      <c r="H47" s="224"/>
      <c r="I47" s="133"/>
      <c r="J47" s="223">
        <f>SUM(J32:J46)</f>
        <v>0</v>
      </c>
      <c r="K47" s="223">
        <f>SUM(K32:K46)</f>
        <v>0</v>
      </c>
      <c r="L47" s="225"/>
      <c r="M47" s="225">
        <v>214065.97</v>
      </c>
      <c r="N47" s="133">
        <f t="shared" si="24"/>
        <v>218911.25866066347</v>
      </c>
      <c r="O47" s="133">
        <f t="shared" si="36"/>
        <v>-218911.25866066347</v>
      </c>
      <c r="P47" s="131"/>
      <c r="Q47" s="223">
        <f t="shared" ref="Q47:Z47" si="37">SUM(Q32:Q46)</f>
        <v>3696338.45</v>
      </c>
      <c r="R47" s="223">
        <f t="shared" si="37"/>
        <v>5.9530077072151126</v>
      </c>
      <c r="S47" s="223">
        <f t="shared" si="37"/>
        <v>924034.60714828235</v>
      </c>
      <c r="T47" s="223">
        <f t="shared" si="37"/>
        <v>5.9530180616325756</v>
      </c>
      <c r="U47" s="223">
        <f t="shared" si="37"/>
        <v>908716.92607381055</v>
      </c>
      <c r="V47" s="223">
        <f t="shared" si="37"/>
        <v>5.953006556726506</v>
      </c>
      <c r="W47" s="223">
        <f t="shared" si="37"/>
        <v>960009.17153617286</v>
      </c>
      <c r="X47" s="223">
        <f t="shared" si="37"/>
        <v>5.9530579297457384</v>
      </c>
      <c r="Y47" s="223">
        <f t="shared" si="37"/>
        <v>903582.41829573736</v>
      </c>
      <c r="Z47" s="223">
        <f t="shared" si="37"/>
        <v>5.9530180616325756</v>
      </c>
      <c r="AA47" s="223">
        <f>SUM(AA32:AA46)</f>
        <v>2242807</v>
      </c>
      <c r="AB47" s="223">
        <f>SUM(AB32:AB46)</f>
        <v>3.6120738231630289</v>
      </c>
    </row>
    <row r="48" spans="1:28" ht="23.25" customHeight="1" x14ac:dyDescent="0.3">
      <c r="A48" s="226" t="s">
        <v>17</v>
      </c>
      <c r="B48" s="633" t="s">
        <v>18</v>
      </c>
      <c r="C48" s="634"/>
      <c r="D48" s="634"/>
      <c r="E48" s="634"/>
      <c r="F48" s="634"/>
      <c r="G48" s="634"/>
      <c r="H48" s="635"/>
      <c r="I48" s="103"/>
      <c r="J48" s="51"/>
      <c r="K48" s="51"/>
      <c r="L48" s="51"/>
      <c r="M48" s="51"/>
      <c r="N48" s="56"/>
      <c r="O48" s="51"/>
      <c r="P48" s="157"/>
      <c r="Q48" s="158"/>
      <c r="R48" s="105"/>
      <c r="S48" s="106"/>
      <c r="T48" s="107"/>
      <c r="U48" s="106"/>
      <c r="V48" s="107"/>
      <c r="W48" s="106"/>
      <c r="X48" s="112"/>
      <c r="Y48" s="106"/>
      <c r="Z48" s="108"/>
      <c r="AA48" s="157"/>
      <c r="AB48" s="157"/>
    </row>
    <row r="49" spans="1:28" ht="15" customHeight="1" x14ac:dyDescent="0.3">
      <c r="A49" s="219"/>
      <c r="B49" s="227" t="s">
        <v>15</v>
      </c>
      <c r="C49" s="162"/>
      <c r="D49" s="162"/>
      <c r="E49" s="162"/>
      <c r="F49" s="166"/>
      <c r="G49" s="166"/>
      <c r="H49" s="69"/>
      <c r="I49" s="103"/>
      <c r="J49" s="228"/>
      <c r="K49" s="69"/>
      <c r="L49" s="51"/>
      <c r="M49" s="51"/>
      <c r="N49" s="56"/>
      <c r="O49" s="51"/>
      <c r="P49" s="69"/>
      <c r="Q49" s="164"/>
      <c r="R49" s="105"/>
      <c r="S49" s="106">
        <f t="shared" ref="S49:S55" si="38">PRODUCT(Q49/51743.2,12935.1)</f>
        <v>0</v>
      </c>
      <c r="T49" s="229">
        <f>PRODUCT(S49/12/12935.1)</f>
        <v>0</v>
      </c>
      <c r="U49" s="106">
        <f t="shared" ref="U49:U55" si="39">PRODUCT(Q49/51743.3,12720.7)</f>
        <v>0</v>
      </c>
      <c r="V49" s="107">
        <f t="shared" ref="V49:V55" si="40">PRODUCT(U49/12/12720.7)</f>
        <v>0</v>
      </c>
      <c r="W49" s="106">
        <f t="shared" ref="W49:W55" si="41">PRODUCT(Q49/51743.2,13438.69)</f>
        <v>0</v>
      </c>
      <c r="X49" s="173">
        <f>PRODUCT(W49/12/13438.6)</f>
        <v>0</v>
      </c>
      <c r="Y49" s="106">
        <f t="shared" ref="Y49:Y55" si="42">PRODUCT(Q49/51743.2,12648.8)</f>
        <v>0</v>
      </c>
      <c r="Z49" s="108">
        <f>PRODUCT(Y49/9/12648.8)</f>
        <v>0</v>
      </c>
      <c r="AA49" s="69"/>
      <c r="AB49" s="165"/>
    </row>
    <row r="50" spans="1:28" s="1" customFormat="1" ht="40.5" customHeight="1" x14ac:dyDescent="0.3">
      <c r="A50" s="230"/>
      <c r="B50" s="231" t="s">
        <v>221</v>
      </c>
      <c r="C50" s="101">
        <v>2.48</v>
      </c>
      <c r="D50" s="101">
        <v>2.645</v>
      </c>
      <c r="E50" s="101">
        <f>F50/$F$5/12</f>
        <v>1.5435291067458807</v>
      </c>
      <c r="F50" s="102">
        <f>SUM(F52:F54)</f>
        <v>223850</v>
      </c>
      <c r="G50" s="101">
        <f>SUM(G52:G55)</f>
        <v>180906.84</v>
      </c>
      <c r="H50" s="103">
        <f>G50/12/$F$5</f>
        <v>1.2474200274711635</v>
      </c>
      <c r="I50" s="103">
        <f>G50/F5/12</f>
        <v>1.2474200274711635</v>
      </c>
      <c r="J50" s="232"/>
      <c r="K50" s="233">
        <f>J50/12/$F$5</f>
        <v>0</v>
      </c>
      <c r="L50" s="234"/>
      <c r="M50" s="234"/>
      <c r="N50" s="235"/>
      <c r="O50" s="235"/>
      <c r="P50" s="233"/>
      <c r="Q50" s="236"/>
      <c r="R50" s="105"/>
      <c r="S50" s="106">
        <f t="shared" si="38"/>
        <v>0</v>
      </c>
      <c r="T50" s="229">
        <f>PRODUCT(S50/12/12935.1)</f>
        <v>0</v>
      </c>
      <c r="U50" s="106">
        <f t="shared" si="39"/>
        <v>0</v>
      </c>
      <c r="V50" s="229">
        <f t="shared" si="40"/>
        <v>0</v>
      </c>
      <c r="W50" s="106">
        <f t="shared" si="41"/>
        <v>0</v>
      </c>
      <c r="X50" s="112">
        <f t="shared" ref="X50:X55" si="43">PRODUCT(W50/12/13438.6)</f>
        <v>0</v>
      </c>
      <c r="Y50" s="106">
        <f t="shared" si="42"/>
        <v>0</v>
      </c>
      <c r="Z50" s="108">
        <f t="shared" ref="Z50:Z55" si="44">PRODUCT(Y50/12/12648.8)</f>
        <v>0</v>
      </c>
      <c r="AA50" s="237"/>
      <c r="AB50" s="165"/>
    </row>
    <row r="51" spans="1:28" s="1" customFormat="1" ht="40.799999999999997" customHeight="1" x14ac:dyDescent="0.3">
      <c r="A51" s="99" t="s">
        <v>222</v>
      </c>
      <c r="B51" s="238" t="s">
        <v>271</v>
      </c>
      <c r="C51" s="101"/>
      <c r="D51" s="101"/>
      <c r="E51" s="101"/>
      <c r="F51" s="102"/>
      <c r="G51" s="102"/>
      <c r="H51" s="113"/>
      <c r="I51" s="103"/>
      <c r="J51" s="239"/>
      <c r="K51" s="113"/>
      <c r="L51" s="57"/>
      <c r="M51" s="57"/>
      <c r="N51" s="103">
        <f>M51/$K$4*$F$5</f>
        <v>0</v>
      </c>
      <c r="O51" s="103">
        <f t="shared" ref="O51:O55" si="45">J51-N51</f>
        <v>0</v>
      </c>
      <c r="P51" s="101"/>
      <c r="Q51" s="164">
        <v>12600</v>
      </c>
      <c r="R51" s="105">
        <f t="shared" ref="R51:R55" si="46">PRODUCT(Q51/51743.29/12)</f>
        <v>2.0292486233480709E-2</v>
      </c>
      <c r="S51" s="106">
        <f t="shared" si="38"/>
        <v>3149.8295428191532</v>
      </c>
      <c r="T51" s="107">
        <f t="shared" ref="T51:T55" si="47">PRODUCT(S51/12/12935.1)</f>
        <v>2.0292521529399032E-2</v>
      </c>
      <c r="U51" s="106">
        <f t="shared" si="39"/>
        <v>3097.6149569122958</v>
      </c>
      <c r="V51" s="107">
        <f t="shared" si="40"/>
        <v>2.0292482311719581E-2</v>
      </c>
      <c r="W51" s="106">
        <f t="shared" si="41"/>
        <v>3272.4588738230341</v>
      </c>
      <c r="X51" s="112">
        <f t="shared" si="43"/>
        <v>2.0292657430976403E-2</v>
      </c>
      <c r="Y51" s="106">
        <f t="shared" si="42"/>
        <v>3080.1125558527497</v>
      </c>
      <c r="Z51" s="108">
        <f t="shared" si="44"/>
        <v>2.0292521529399032E-2</v>
      </c>
      <c r="AA51" s="69">
        <v>15000</v>
      </c>
      <c r="AB51" s="165">
        <f t="shared" ref="AB51:AB55" si="48">PRODUCT(AA51/51743.29/12)</f>
        <v>2.4157721706524651E-2</v>
      </c>
    </row>
    <row r="52" spans="1:28" ht="42" customHeight="1" x14ac:dyDescent="0.3">
      <c r="A52" s="219" t="s">
        <v>177</v>
      </c>
      <c r="B52" s="220" t="s">
        <v>267</v>
      </c>
      <c r="C52" s="162"/>
      <c r="D52" s="162"/>
      <c r="E52" s="162"/>
      <c r="F52" s="166">
        <v>178350</v>
      </c>
      <c r="G52" s="166">
        <v>159698.84</v>
      </c>
      <c r="H52" s="69"/>
      <c r="I52" s="103"/>
      <c r="J52" s="228"/>
      <c r="K52" s="69"/>
      <c r="L52" s="51"/>
      <c r="M52" s="51">
        <v>410654.16</v>
      </c>
      <c r="N52" s="103" t="e">
        <f t="shared" ref="N52:N55" si="49">M52/$L$4*$F$5</f>
        <v>#DIV/0!</v>
      </c>
      <c r="O52" s="103" t="e">
        <f t="shared" si="45"/>
        <v>#DIV/0!</v>
      </c>
      <c r="P52" s="101"/>
      <c r="Q52" s="164">
        <v>547538.88</v>
      </c>
      <c r="R52" s="105">
        <f t="shared" si="46"/>
        <v>0.88181945910281312</v>
      </c>
      <c r="S52" s="106">
        <f t="shared" si="38"/>
        <v>136877.31270365961</v>
      </c>
      <c r="T52" s="107">
        <f t="shared" si="47"/>
        <v>0.88182099290341531</v>
      </c>
      <c r="U52" s="106">
        <f t="shared" si="39"/>
        <v>134608.30350627037</v>
      </c>
      <c r="V52" s="107">
        <f t="shared" si="40"/>
        <v>0.88181928868085324</v>
      </c>
      <c r="W52" s="106">
        <f t="shared" si="41"/>
        <v>142206.22750945439</v>
      </c>
      <c r="X52" s="112">
        <f t="shared" si="43"/>
        <v>0.88182689856988061</v>
      </c>
      <c r="Y52" s="106">
        <f t="shared" si="42"/>
        <v>133847.72850044063</v>
      </c>
      <c r="Z52" s="108">
        <f t="shared" si="44"/>
        <v>0.88182099290341531</v>
      </c>
      <c r="AA52" s="69">
        <v>550000</v>
      </c>
      <c r="AB52" s="165">
        <f t="shared" si="48"/>
        <v>0.88578312923923719</v>
      </c>
    </row>
    <row r="53" spans="1:28" ht="35.25" customHeight="1" x14ac:dyDescent="0.3">
      <c r="A53" s="219" t="s">
        <v>178</v>
      </c>
      <c r="B53" s="220" t="s">
        <v>268</v>
      </c>
      <c r="C53" s="162"/>
      <c r="D53" s="162"/>
      <c r="E53" s="162"/>
      <c r="F53" s="166">
        <v>45000</v>
      </c>
      <c r="G53" s="166">
        <v>21208</v>
      </c>
      <c r="H53" s="69"/>
      <c r="I53" s="103"/>
      <c r="J53" s="228"/>
      <c r="K53" s="69"/>
      <c r="L53" s="240"/>
      <c r="M53" s="51">
        <v>84000</v>
      </c>
      <c r="N53" s="103" t="e">
        <f t="shared" si="49"/>
        <v>#DIV/0!</v>
      </c>
      <c r="O53" s="103" t="e">
        <f t="shared" si="45"/>
        <v>#DIV/0!</v>
      </c>
      <c r="P53" s="101"/>
      <c r="Q53" s="164"/>
      <c r="R53" s="105">
        <f t="shared" si="46"/>
        <v>0</v>
      </c>
      <c r="S53" s="106">
        <v>0</v>
      </c>
      <c r="T53" s="107">
        <f t="shared" si="47"/>
        <v>0</v>
      </c>
      <c r="U53" s="106">
        <f t="shared" si="39"/>
        <v>0</v>
      </c>
      <c r="V53" s="107">
        <f t="shared" si="40"/>
        <v>0</v>
      </c>
      <c r="W53" s="106">
        <f t="shared" si="41"/>
        <v>0</v>
      </c>
      <c r="X53" s="112">
        <f t="shared" si="43"/>
        <v>0</v>
      </c>
      <c r="Y53" s="106">
        <f t="shared" si="42"/>
        <v>0</v>
      </c>
      <c r="Z53" s="108">
        <f t="shared" si="44"/>
        <v>0</v>
      </c>
      <c r="AA53" s="69">
        <v>0</v>
      </c>
      <c r="AB53" s="165">
        <f t="shared" si="48"/>
        <v>0</v>
      </c>
    </row>
    <row r="54" spans="1:28" ht="39" customHeight="1" x14ac:dyDescent="0.3">
      <c r="A54" s="219" t="s">
        <v>223</v>
      </c>
      <c r="B54" s="220" t="s">
        <v>270</v>
      </c>
      <c r="C54" s="162"/>
      <c r="D54" s="162"/>
      <c r="E54" s="162"/>
      <c r="F54" s="166">
        <v>500</v>
      </c>
      <c r="G54" s="166">
        <v>0</v>
      </c>
      <c r="H54" s="69"/>
      <c r="I54" s="103"/>
      <c r="J54" s="228"/>
      <c r="K54" s="69"/>
      <c r="L54" s="51"/>
      <c r="M54" s="51">
        <v>1500</v>
      </c>
      <c r="N54" s="103" t="e">
        <f t="shared" si="49"/>
        <v>#DIV/0!</v>
      </c>
      <c r="O54" s="103" t="e">
        <f t="shared" si="45"/>
        <v>#DIV/0!</v>
      </c>
      <c r="P54" s="101"/>
      <c r="Q54" s="164">
        <v>6000</v>
      </c>
      <c r="R54" s="105">
        <f t="shared" si="46"/>
        <v>9.6630886826098612E-3</v>
      </c>
      <c r="S54" s="106">
        <f t="shared" si="38"/>
        <v>1499.9188299138825</v>
      </c>
      <c r="T54" s="107">
        <f t="shared" si="47"/>
        <v>9.6631054901900153E-3</v>
      </c>
      <c r="U54" s="106">
        <f t="shared" si="39"/>
        <v>1475.0547413868076</v>
      </c>
      <c r="V54" s="107">
        <f t="shared" si="40"/>
        <v>9.6630868151045633E-3</v>
      </c>
      <c r="W54" s="106">
        <f t="shared" si="41"/>
        <v>1558.3137494395398</v>
      </c>
      <c r="X54" s="112">
        <f t="shared" si="43"/>
        <v>9.6631702052268585E-3</v>
      </c>
      <c r="Y54" s="106">
        <f t="shared" si="42"/>
        <v>1466.7202646917856</v>
      </c>
      <c r="Z54" s="108">
        <f t="shared" si="44"/>
        <v>9.6631054901900153E-3</v>
      </c>
      <c r="AA54" s="69">
        <v>6000</v>
      </c>
      <c r="AB54" s="165">
        <f t="shared" si="48"/>
        <v>9.6630886826098612E-3</v>
      </c>
    </row>
    <row r="55" spans="1:28" s="1" customFormat="1" ht="67.2" customHeight="1" thickBot="1" x14ac:dyDescent="0.35">
      <c r="A55" s="99"/>
      <c r="B55" s="127" t="s">
        <v>269</v>
      </c>
      <c r="C55" s="167">
        <v>0</v>
      </c>
      <c r="D55" s="167">
        <v>0</v>
      </c>
      <c r="E55" s="167">
        <f>F55/F5/12</f>
        <v>0</v>
      </c>
      <c r="F55" s="128">
        <v>0</v>
      </c>
      <c r="G55" s="128">
        <v>0</v>
      </c>
      <c r="H55" s="241"/>
      <c r="I55" s="103"/>
      <c r="J55" s="242"/>
      <c r="K55" s="241"/>
      <c r="L55" s="57"/>
      <c r="M55" s="57"/>
      <c r="N55" s="103" t="e">
        <f t="shared" si="49"/>
        <v>#DIV/0!</v>
      </c>
      <c r="O55" s="103" t="e">
        <f t="shared" si="45"/>
        <v>#DIV/0!</v>
      </c>
      <c r="P55" s="167"/>
      <c r="Q55" s="243"/>
      <c r="R55" s="105">
        <f t="shared" si="46"/>
        <v>0</v>
      </c>
      <c r="S55" s="106">
        <f t="shared" si="38"/>
        <v>0</v>
      </c>
      <c r="T55" s="107">
        <f t="shared" si="47"/>
        <v>0</v>
      </c>
      <c r="U55" s="106">
        <f t="shared" si="39"/>
        <v>0</v>
      </c>
      <c r="V55" s="107">
        <f t="shared" si="40"/>
        <v>0</v>
      </c>
      <c r="W55" s="106">
        <f t="shared" si="41"/>
        <v>0</v>
      </c>
      <c r="X55" s="112">
        <f t="shared" si="43"/>
        <v>0</v>
      </c>
      <c r="Y55" s="106">
        <f t="shared" si="42"/>
        <v>0</v>
      </c>
      <c r="Z55" s="108">
        <f t="shared" si="44"/>
        <v>0</v>
      </c>
      <c r="AA55" s="241"/>
      <c r="AB55" s="165">
        <f t="shared" si="48"/>
        <v>0</v>
      </c>
    </row>
    <row r="56" spans="1:28" ht="45" customHeight="1" thickBot="1" x14ac:dyDescent="0.35">
      <c r="A56" s="244"/>
      <c r="B56" s="245" t="s">
        <v>98</v>
      </c>
      <c r="C56" s="181">
        <f>SUM(C50:C55)</f>
        <v>2.48</v>
      </c>
      <c r="D56" s="181">
        <f>SUM(D50:D55)</f>
        <v>2.645</v>
      </c>
      <c r="E56" s="181">
        <f>SUM(E50:E55)</f>
        <v>1.5435291067458807</v>
      </c>
      <c r="F56" s="181">
        <f>F50+F55</f>
        <v>223850</v>
      </c>
      <c r="G56" s="181">
        <f>G50+G55</f>
        <v>180906.84</v>
      </c>
      <c r="H56" s="181">
        <f>G56/12/F5</f>
        <v>1.2474200274711635</v>
      </c>
      <c r="I56" s="180">
        <f>G56/F5/12</f>
        <v>1.2474200274711635</v>
      </c>
      <c r="J56" s="180">
        <f>SUM(J50:J55)</f>
        <v>0</v>
      </c>
      <c r="K56" s="187">
        <f>SUM(K50:K55)</f>
        <v>0</v>
      </c>
      <c r="L56" s="182"/>
      <c r="M56" s="182"/>
      <c r="N56" s="180"/>
      <c r="O56" s="180"/>
      <c r="P56" s="187"/>
      <c r="Q56" s="180">
        <f t="shared" ref="Q56:Z56" si="50">SUM(Q50:Q55)</f>
        <v>566138.88</v>
      </c>
      <c r="R56" s="180">
        <f t="shared" si="50"/>
        <v>0.9117750340189037</v>
      </c>
      <c r="S56" s="180">
        <f t="shared" si="50"/>
        <v>141527.06107639265</v>
      </c>
      <c r="T56" s="180">
        <f t="shared" si="50"/>
        <v>0.91177661992300429</v>
      </c>
      <c r="U56" s="180">
        <f t="shared" si="50"/>
        <v>139180.97320456948</v>
      </c>
      <c r="V56" s="180">
        <f t="shared" si="50"/>
        <v>0.91177485780767731</v>
      </c>
      <c r="W56" s="180">
        <f t="shared" si="50"/>
        <v>147037.00013271696</v>
      </c>
      <c r="X56" s="180">
        <f t="shared" si="50"/>
        <v>0.91178272620608392</v>
      </c>
      <c r="Y56" s="180">
        <f t="shared" si="50"/>
        <v>138394.56132098514</v>
      </c>
      <c r="Z56" s="180">
        <f t="shared" si="50"/>
        <v>0.91177661992300429</v>
      </c>
      <c r="AA56" s="180">
        <f>SUM(AA50:AA55)</f>
        <v>571000</v>
      </c>
      <c r="AB56" s="180">
        <f>SUM(AB51:AB55)</f>
        <v>0.91960393962837172</v>
      </c>
    </row>
    <row r="57" spans="1:28" s="1" customFormat="1" ht="151.19999999999999" customHeight="1" thickBot="1" x14ac:dyDescent="0.35">
      <c r="A57" s="230" t="s">
        <v>19</v>
      </c>
      <c r="B57" s="246" t="s">
        <v>20</v>
      </c>
      <c r="C57" s="110">
        <v>1.03</v>
      </c>
      <c r="D57" s="110">
        <v>1.0249999999999999</v>
      </c>
      <c r="E57" s="110">
        <f>F57/$F$7/12</f>
        <v>0.99213251798079127</v>
      </c>
      <c r="F57" s="247">
        <v>154000</v>
      </c>
      <c r="G57" s="247">
        <v>154000</v>
      </c>
      <c r="H57" s="110">
        <f>PRODUCT(G57/12/F7)</f>
        <v>0.99213251798079127</v>
      </c>
      <c r="I57" s="103">
        <f t="shared" si="11"/>
        <v>0.99213251798079127</v>
      </c>
      <c r="J57" s="248"/>
      <c r="K57" s="110">
        <f t="shared" ref="K57:K61" si="51">J57/$F$7/12</f>
        <v>0</v>
      </c>
      <c r="L57" s="57"/>
      <c r="M57" s="57">
        <v>464550</v>
      </c>
      <c r="N57" s="103">
        <f t="shared" ref="N57:N59" si="52">M57/$K$4*$K$5</f>
        <v>475064.88402061857</v>
      </c>
      <c r="O57" s="103">
        <f>J57-N57</f>
        <v>-475064.88402061857</v>
      </c>
      <c r="P57" s="110"/>
      <c r="Q57" s="249">
        <v>0</v>
      </c>
      <c r="R57" s="105">
        <f>PRODUCT(Q57/51743.29/12)</f>
        <v>0</v>
      </c>
      <c r="S57" s="106">
        <f>PRODUCT(Q57/51743.2,12935.1)</f>
        <v>0</v>
      </c>
      <c r="T57" s="107">
        <f>PRODUCT(S57/12/12935.1)</f>
        <v>0</v>
      </c>
      <c r="U57" s="106">
        <f>PRODUCT(Q57/51743.3,12720.7)</f>
        <v>0</v>
      </c>
      <c r="V57" s="107">
        <f>PRODUCT(U57/12/12720.7)</f>
        <v>0</v>
      </c>
      <c r="W57" s="106">
        <f>PRODUCT(Q57/51743.2,13438.69)</f>
        <v>0</v>
      </c>
      <c r="X57" s="112">
        <f>PRODUCT(W57/12/13438.6)</f>
        <v>0</v>
      </c>
      <c r="Y57" s="106">
        <f>PRODUCT(Q57/51743.2,12648.8)</f>
        <v>0</v>
      </c>
      <c r="Z57" s="108">
        <f>PRODUCT(Y57/12/12648.8)</f>
        <v>0</v>
      </c>
      <c r="AA57" s="109">
        <v>615710</v>
      </c>
      <c r="AB57" s="250">
        <f>PRODUCT(AA57/AB3/12)</f>
        <v>0.9916100554616194</v>
      </c>
    </row>
    <row r="58" spans="1:28" ht="63" customHeight="1" thickBot="1" x14ac:dyDescent="0.35">
      <c r="A58" s="99" t="s">
        <v>21</v>
      </c>
      <c r="B58" s="251" t="s">
        <v>22</v>
      </c>
      <c r="C58" s="101">
        <v>0</v>
      </c>
      <c r="D58" s="101">
        <v>0</v>
      </c>
      <c r="E58" s="101">
        <f>F58/$F$7/12</f>
        <v>0</v>
      </c>
      <c r="F58" s="102">
        <v>0</v>
      </c>
      <c r="G58" s="102">
        <v>0</v>
      </c>
      <c r="H58" s="113">
        <v>0</v>
      </c>
      <c r="I58" s="103">
        <f t="shared" si="11"/>
        <v>0</v>
      </c>
      <c r="J58" s="239"/>
      <c r="K58" s="101">
        <f t="shared" si="51"/>
        <v>0</v>
      </c>
      <c r="L58" s="51"/>
      <c r="M58" s="51"/>
      <c r="N58" s="103">
        <f t="shared" si="52"/>
        <v>0</v>
      </c>
      <c r="O58" s="103">
        <f>J58-N58</f>
        <v>0</v>
      </c>
      <c r="P58" s="101"/>
      <c r="Q58" s="164"/>
      <c r="R58" s="105">
        <f>PRODUCT(Q58/51743.29/12)</f>
        <v>0</v>
      </c>
      <c r="S58" s="106">
        <f>PRODUCT(Q58/51743.2,12935.1)</f>
        <v>0</v>
      </c>
      <c r="T58" s="107">
        <f>PRODUCT(S58/12/12935.1)</f>
        <v>0</v>
      </c>
      <c r="U58" s="106">
        <f>PRODUCT(Q58/51743.3,12720.7)</f>
        <v>0</v>
      </c>
      <c r="V58" s="107">
        <f>PRODUCT(U58/12/12720.7)</f>
        <v>0</v>
      </c>
      <c r="W58" s="106">
        <f>PRODUCT(Q58/51743.2,13438.69)</f>
        <v>0</v>
      </c>
      <c r="X58" s="112">
        <f>PRODUCT(W58/12/13438.6)</f>
        <v>0</v>
      </c>
      <c r="Y58" s="106">
        <f>PRODUCT(Q58/51743.2,12648.8)</f>
        <v>0</v>
      </c>
      <c r="Z58" s="108">
        <f>PRODUCT(Y58/12/12648.8)</f>
        <v>0</v>
      </c>
      <c r="AA58" s="69"/>
      <c r="AB58" s="69"/>
    </row>
    <row r="59" spans="1:28" ht="88.5" customHeight="1" thickBot="1" x14ac:dyDescent="0.35">
      <c r="A59" s="99" t="s">
        <v>23</v>
      </c>
      <c r="B59" s="251" t="s">
        <v>272</v>
      </c>
      <c r="C59" s="101">
        <v>1.18</v>
      </c>
      <c r="D59" s="101">
        <v>1.35</v>
      </c>
      <c r="E59" s="101">
        <f>F59/$F$7/12</f>
        <v>1.180251151260266</v>
      </c>
      <c r="F59" s="102">
        <v>183200</v>
      </c>
      <c r="G59" s="102">
        <v>183200</v>
      </c>
      <c r="H59" s="167">
        <f>PRODUCT(G59/12/F7)</f>
        <v>1.1802511512602658</v>
      </c>
      <c r="I59" s="252">
        <f t="shared" si="11"/>
        <v>1.180251151260266</v>
      </c>
      <c r="J59" s="242"/>
      <c r="K59" s="167">
        <f t="shared" si="51"/>
        <v>0</v>
      </c>
      <c r="L59" s="51"/>
      <c r="M59" s="51">
        <v>549600</v>
      </c>
      <c r="N59" s="103">
        <f t="shared" si="52"/>
        <v>562039.95319714129</v>
      </c>
      <c r="O59" s="103">
        <f>J59-N59</f>
        <v>-562039.95319714129</v>
      </c>
      <c r="P59" s="167"/>
      <c r="Q59" s="169">
        <v>732800</v>
      </c>
      <c r="R59" s="170">
        <f>PRODUCT(Q59/51743.29/12)</f>
        <v>1.180185231102751</v>
      </c>
      <c r="S59" s="171">
        <f>PRODUCT(Q59/51743.2,12935.1)</f>
        <v>183190.08642681551</v>
      </c>
      <c r="T59" s="172">
        <f>PRODUCT(S59/12/12935.1)</f>
        <v>1.1801872838685405</v>
      </c>
      <c r="U59" s="171">
        <f>PRODUCT(Q59/51743.3,12720.7)</f>
        <v>180153.35241470876</v>
      </c>
      <c r="V59" s="172">
        <f>PRODUCT(U59/12/12720.7)</f>
        <v>1.180185003018104</v>
      </c>
      <c r="W59" s="171">
        <f>PRODUCT(Q59/51743.2,13438.69)</f>
        <v>190322.05259821581</v>
      </c>
      <c r="X59" s="173">
        <f>PRODUCT(W59/12/13438.6)</f>
        <v>1.180195187731707</v>
      </c>
      <c r="Y59" s="171">
        <f>PRODUCT(Q59/51743.2,12648.8)</f>
        <v>179135.43499435674</v>
      </c>
      <c r="Z59" s="174">
        <f>PRODUCT(Y59/12/12648.8)</f>
        <v>1.1801872838685405</v>
      </c>
      <c r="AA59" s="168">
        <v>732800</v>
      </c>
      <c r="AB59" s="250">
        <f>PRODUCT(AA59/12/51743.29)</f>
        <v>1.180185231102751</v>
      </c>
    </row>
    <row r="60" spans="1:28" s="1" customFormat="1" ht="42" customHeight="1" thickBot="1" x14ac:dyDescent="0.35">
      <c r="A60" s="253"/>
      <c r="B60" s="254" t="s">
        <v>28</v>
      </c>
      <c r="C60" s="181" t="e">
        <f>#REF!+C56+C57+C58+C59</f>
        <v>#REF!</v>
      </c>
      <c r="D60" s="181" t="e">
        <f>#REF!+D56+D57+D58+D59</f>
        <v>#REF!</v>
      </c>
      <c r="E60" s="181" t="e">
        <f>#REF!+E56+E57+E58+E59</f>
        <v>#REF!</v>
      </c>
      <c r="F60" s="181" t="e">
        <f>SUM(#REF!,F56,F57:F59)</f>
        <v>#REF!</v>
      </c>
      <c r="G60" s="181" t="e">
        <f>SUM(#REF!,G56,G57:G59)</f>
        <v>#REF!</v>
      </c>
      <c r="H60" s="181" t="e">
        <f>SUM(#REF!,H56,H57:H59)</f>
        <v>#REF!</v>
      </c>
      <c r="I60" s="255" t="e">
        <f>SUM(#REF!,I56,I57:I59)</f>
        <v>#REF!</v>
      </c>
      <c r="J60" s="180">
        <f>SUM(J11,J12,J13,J14,J15,J16,J17,J18,J19,J20,J21,J29,J47,J56,J57,J58,J59)</f>
        <v>0</v>
      </c>
      <c r="K60" s="180">
        <f>SUM(K11,K12,K13,K14,K15,K16,K17,K18,K19,K20,K21,K29,K47,K56,K57,K58,K59)</f>
        <v>0</v>
      </c>
      <c r="L60" s="256"/>
      <c r="M60" s="256"/>
      <c r="N60" s="180"/>
      <c r="O60" s="256"/>
      <c r="P60" s="257"/>
      <c r="Q60" s="258">
        <f t="shared" ref="Q60:AA60" si="53">SUM(Q21,Q29,Q30,Q47,Q56,Q57,Q58,Q59)</f>
        <v>18104974.449999999</v>
      </c>
      <c r="R60" s="258">
        <f t="shared" si="53"/>
        <v>29.158328951122609</v>
      </c>
      <c r="S60" s="258">
        <f t="shared" si="53"/>
        <v>4525998.6821107902</v>
      </c>
      <c r="T60" s="258">
        <f t="shared" si="53"/>
        <v>29.158379667924162</v>
      </c>
      <c r="U60" s="258">
        <f t="shared" si="53"/>
        <v>4450971.4008599175</v>
      </c>
      <c r="V60" s="258">
        <f t="shared" si="53"/>
        <v>29.15832331593333</v>
      </c>
      <c r="W60" s="258">
        <f t="shared" si="53"/>
        <v>4702205.1031144289</v>
      </c>
      <c r="X60" s="258">
        <f t="shared" si="53"/>
        <v>29.158574945272257</v>
      </c>
      <c r="Y60" s="258">
        <f t="shared" si="53"/>
        <v>4425822.1529236687</v>
      </c>
      <c r="Z60" s="258">
        <f t="shared" si="53"/>
        <v>29.158379667924162</v>
      </c>
      <c r="AA60" s="180">
        <f t="shared" si="53"/>
        <v>18104643.390000001</v>
      </c>
      <c r="AB60" s="258">
        <f>SUM(AB21,AB29,AB30,AB47,AB56,AB57,AB58,AB59)</f>
        <v>29.157795774099405</v>
      </c>
    </row>
    <row r="61" spans="1:28" s="1" customFormat="1" ht="20.25" customHeight="1" thickBot="1" x14ac:dyDescent="0.35">
      <c r="A61" s="99" t="s">
        <v>24</v>
      </c>
      <c r="B61" s="259"/>
      <c r="C61" s="110">
        <v>6.72</v>
      </c>
      <c r="D61" s="110">
        <v>6.72</v>
      </c>
      <c r="E61" s="101">
        <f>F61/$F$7/12</f>
        <v>5.6999999999999993</v>
      </c>
      <c r="F61" s="247">
        <v>884760.84</v>
      </c>
      <c r="G61" s="102">
        <v>935094.03</v>
      </c>
      <c r="H61" s="260">
        <f>G61/12/F7</f>
        <v>6.0242674969656207</v>
      </c>
      <c r="I61" s="252">
        <f t="shared" si="11"/>
        <v>6.0242674969656207</v>
      </c>
      <c r="J61" s="252"/>
      <c r="K61" s="210">
        <f t="shared" si="51"/>
        <v>0</v>
      </c>
      <c r="L61" s="147"/>
      <c r="M61" s="147">
        <v>2466750</v>
      </c>
      <c r="N61" s="145">
        <f t="shared" ref="N61" si="54">M61/$K$4*$K$5</f>
        <v>2522583.7964866236</v>
      </c>
      <c r="O61" s="145">
        <f>J61-N61</f>
        <v>-2522583.7964866236</v>
      </c>
      <c r="P61" s="143"/>
      <c r="Q61" s="261"/>
      <c r="R61" s="262">
        <f>PRODUCT(Q61/51743.29/12)</f>
        <v>0</v>
      </c>
      <c r="S61" s="171">
        <f>PRODUCT(Q61/51743.2,12935.1)</f>
        <v>0</v>
      </c>
      <c r="T61" s="172">
        <f>PRODUCT(S61/12/12935.1)</f>
        <v>0</v>
      </c>
      <c r="U61" s="171">
        <f>PRODUCT(Q61/51743.3,12720.7)</f>
        <v>0</v>
      </c>
      <c r="V61" s="172">
        <f t="shared" ref="V61" si="55">PRODUCT(U61/12/12720.7)</f>
        <v>0</v>
      </c>
      <c r="W61" s="171">
        <f>PRODUCT(Q61/51743.2,13438.69)</f>
        <v>0</v>
      </c>
      <c r="X61" s="174">
        <f>PRODUCT(W61/12/13438.6)</f>
        <v>0</v>
      </c>
      <c r="Y61" s="171">
        <f>PRODUCT(Q61/51743.2,12648.8)</f>
        <v>0</v>
      </c>
      <c r="Z61" s="174">
        <f>PRODUCT(Y61/12/12648.8)</f>
        <v>0</v>
      </c>
      <c r="AA61" s="109"/>
      <c r="AB61" s="250">
        <f>PRODUCT(AA61/12/51743.29)</f>
        <v>0</v>
      </c>
    </row>
    <row r="62" spans="1:28" ht="15.75" customHeight="1" thickBot="1" x14ac:dyDescent="0.35">
      <c r="A62" s="263"/>
      <c r="B62" s="264" t="s">
        <v>25</v>
      </c>
      <c r="C62" s="265" t="e">
        <f t="shared" ref="C62:I62" si="56">C61+C60</f>
        <v>#REF!</v>
      </c>
      <c r="D62" s="265" t="e">
        <f t="shared" si="56"/>
        <v>#REF!</v>
      </c>
      <c r="E62" s="265" t="e">
        <f t="shared" si="56"/>
        <v>#REF!</v>
      </c>
      <c r="F62" s="265" t="e">
        <f t="shared" si="56"/>
        <v>#REF!</v>
      </c>
      <c r="G62" s="265" t="e">
        <f t="shared" si="56"/>
        <v>#REF!</v>
      </c>
      <c r="H62" s="265" t="e">
        <f t="shared" si="56"/>
        <v>#REF!</v>
      </c>
      <c r="I62" s="266" t="e">
        <f t="shared" si="56"/>
        <v>#REF!</v>
      </c>
      <c r="J62" s="267">
        <f>SUM(J60:J61)</f>
        <v>0</v>
      </c>
      <c r="K62" s="268">
        <f>SUM(K60:K61)</f>
        <v>0</v>
      </c>
      <c r="L62" s="147"/>
      <c r="M62" s="147"/>
      <c r="N62" s="145"/>
      <c r="O62" s="147"/>
      <c r="P62" s="269"/>
      <c r="Q62" s="270">
        <f t="shared" ref="Q62:V62" si="57">SUM(Q60:Q61)</f>
        <v>18104974.449999999</v>
      </c>
      <c r="R62" s="271">
        <f>SUM(R60:R61)</f>
        <v>29.158328951122609</v>
      </c>
      <c r="S62" s="271">
        <f>SUM(S21,S29,S30,S47,S56,S59,S61)</f>
        <v>4525998.6821107902</v>
      </c>
      <c r="T62" s="271">
        <f>SUM(T21,T29,T30,T47,T56,T59,T61)</f>
        <v>29.158379667924162</v>
      </c>
      <c r="U62" s="271">
        <f t="shared" si="57"/>
        <v>4450971.4008599175</v>
      </c>
      <c r="V62" s="271">
        <f t="shared" si="57"/>
        <v>29.15832331593333</v>
      </c>
      <c r="W62" s="272">
        <f t="shared" ref="W62:Y62" si="58">SUM(W60:W61)</f>
        <v>4702205.1031144289</v>
      </c>
      <c r="X62" s="271">
        <f>SUM(X60:X61)</f>
        <v>29.158574945272257</v>
      </c>
      <c r="Y62" s="273">
        <f t="shared" si="58"/>
        <v>4425822.1529236687</v>
      </c>
      <c r="Z62" s="274">
        <f>SUM(Z60:Z61)</f>
        <v>29.158379667924162</v>
      </c>
      <c r="AA62" s="270">
        <f t="shared" ref="AA62" si="59">SUM(AA60:AA61)</f>
        <v>18104643.390000001</v>
      </c>
      <c r="AB62" s="271">
        <f>SUM(AB60:AB61)</f>
        <v>29.157795774099405</v>
      </c>
    </row>
    <row r="63" spans="1:28" ht="18" thickBot="1" x14ac:dyDescent="0.35">
      <c r="A63" s="275"/>
      <c r="B63" s="51"/>
      <c r="C63" s="51"/>
      <c r="D63" s="51"/>
      <c r="E63" s="56"/>
      <c r="F63" s="51"/>
      <c r="G63" s="51"/>
      <c r="H63" s="276"/>
      <c r="I63" s="252">
        <f t="shared" si="11"/>
        <v>0</v>
      </c>
      <c r="J63" s="51"/>
      <c r="K63" s="277"/>
      <c r="L63" s="278"/>
      <c r="M63" s="278"/>
      <c r="N63" s="279"/>
      <c r="O63" s="278"/>
      <c r="P63" s="277"/>
      <c r="Q63" s="280"/>
      <c r="R63" s="280"/>
      <c r="S63" s="281">
        <f>PRODUCT(Q63/51743.2,12935.1)</f>
        <v>0</v>
      </c>
      <c r="T63" s="281">
        <f>PRODUCT(S63/12/12935.1)</f>
        <v>0</v>
      </c>
      <c r="U63" s="281">
        <f>PRODUCT(Q63/42,12,3/51743.29,12720.7)</f>
        <v>0</v>
      </c>
      <c r="V63" s="281">
        <f>PRODUCT(U63/12/12720.7)</f>
        <v>0</v>
      </c>
      <c r="W63" s="281">
        <f>PRODUCT(Q63/51743.2,13438.69)</f>
        <v>0</v>
      </c>
      <c r="X63" s="281">
        <f>PRODUCT(W63/12/13438.6)</f>
        <v>0</v>
      </c>
      <c r="Y63" s="282">
        <f>PRODUCT(Q63/42,6/51743.29,12648.8)</f>
        <v>0</v>
      </c>
      <c r="Z63" s="281">
        <f>PRODUCT(Y63/12/12648.8)</f>
        <v>0</v>
      </c>
      <c r="AA63" s="168"/>
      <c r="AB63" s="69"/>
    </row>
    <row r="64" spans="1:28" s="1" customFormat="1" ht="32.4" customHeight="1" x14ac:dyDescent="0.3">
      <c r="A64" s="283" t="s">
        <v>29</v>
      </c>
      <c r="B64" s="284" t="s">
        <v>109</v>
      </c>
      <c r="C64" s="113">
        <v>21.84</v>
      </c>
      <c r="D64" s="101" t="e">
        <f>D62-D56-D30</f>
        <v>#REF!</v>
      </c>
      <c r="E64" s="101" t="e">
        <f>E62-E56-E30</f>
        <v>#REF!</v>
      </c>
      <c r="F64" s="113"/>
      <c r="G64" s="113"/>
      <c r="H64" s="101" t="e">
        <f>H62-H56-H30</f>
        <v>#REF!</v>
      </c>
      <c r="I64" s="101" t="e">
        <f>I62-I56-I30</f>
        <v>#REF!</v>
      </c>
      <c r="J64" s="113"/>
      <c r="K64" s="101">
        <f>K62-K56-K30</f>
        <v>0</v>
      </c>
      <c r="L64" s="113"/>
      <c r="M64" s="113"/>
      <c r="N64" s="101"/>
      <c r="O64" s="113"/>
      <c r="P64" s="113"/>
      <c r="Q64" s="285">
        <f>SUM(Q62,-Q56)</f>
        <v>17538835.57</v>
      </c>
      <c r="R64" s="285">
        <f>SUM(R62,-R56)</f>
        <v>28.246553917103704</v>
      </c>
      <c r="S64" s="285">
        <f>SUM(S62,-S50,-S30,)</f>
        <v>4525998.6821107902</v>
      </c>
      <c r="T64" s="285">
        <f>SUM(T62,-T50,-T30,)</f>
        <v>29.158379667924162</v>
      </c>
      <c r="U64" s="285">
        <f>SUM(U62,-U50,-U30,)</f>
        <v>4450971.4008599175</v>
      </c>
      <c r="V64" s="285">
        <f>SUM(V62,-V50,-V30)</f>
        <v>29.15832331593333</v>
      </c>
      <c r="W64" s="285">
        <f>SUM(W62,-W50,-W30,)</f>
        <v>4702205.1031144289</v>
      </c>
      <c r="X64" s="285">
        <f>SUM(X62,-X50,-X30)</f>
        <v>29.158574945272257</v>
      </c>
      <c r="Y64" s="285">
        <f>SUM(Y62,-Y50,-Y30,)</f>
        <v>4425822.1529236687</v>
      </c>
      <c r="Z64" s="285">
        <f>SUM(Z62,-Z50,-Z30,)</f>
        <v>29.158379667924162</v>
      </c>
      <c r="AA64" s="285">
        <f>SUM(AA62,-AA56)</f>
        <v>17533643.390000001</v>
      </c>
      <c r="AB64" s="285">
        <f>SUM(AB62,-AB56)</f>
        <v>28.238191834471035</v>
      </c>
    </row>
    <row r="65" spans="1:28" s="15" customFormat="1" ht="82.5" hidden="1" customHeight="1" thickBot="1" x14ac:dyDescent="0.35">
      <c r="A65" s="286" t="s">
        <v>92</v>
      </c>
      <c r="B65" s="287" t="s">
        <v>20</v>
      </c>
      <c r="C65" s="287"/>
      <c r="D65" s="288"/>
      <c r="E65" s="288"/>
      <c r="F65" s="288" t="s">
        <v>45</v>
      </c>
      <c r="G65" s="288" t="s">
        <v>55</v>
      </c>
      <c r="H65" s="289" t="s">
        <v>40</v>
      </c>
      <c r="I65" s="290"/>
      <c r="J65" s="291"/>
      <c r="K65" s="291"/>
      <c r="L65" s="291"/>
      <c r="M65" s="291"/>
      <c r="N65" s="290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</row>
    <row r="66" spans="1:28" s="1" customFormat="1" ht="65.25" hidden="1" customHeight="1" x14ac:dyDescent="0.3">
      <c r="A66" s="292"/>
      <c r="B66" s="293" t="s">
        <v>44</v>
      </c>
      <c r="C66" s="294"/>
      <c r="D66" s="295"/>
      <c r="E66" s="295"/>
      <c r="F66" s="295">
        <v>93331</v>
      </c>
      <c r="G66" s="296">
        <v>70473.100000000006</v>
      </c>
      <c r="H66" s="297">
        <f>F66-G66</f>
        <v>22857.899999999994</v>
      </c>
      <c r="I66" s="290" t="s">
        <v>47</v>
      </c>
      <c r="J66" s="636" t="s">
        <v>60</v>
      </c>
      <c r="K66" s="636"/>
      <c r="L66" s="57"/>
      <c r="M66" s="57"/>
      <c r="N66" s="103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 s="1" customFormat="1" ht="27.75" hidden="1" customHeight="1" x14ac:dyDescent="0.3">
      <c r="A67" s="113"/>
      <c r="B67" s="251" t="s">
        <v>64</v>
      </c>
      <c r="C67" s="113"/>
      <c r="D67" s="101"/>
      <c r="E67" s="101"/>
      <c r="F67" s="101"/>
      <c r="G67" s="298"/>
      <c r="H67" s="101">
        <f>F67-G67</f>
        <v>0</v>
      </c>
      <c r="I67" s="103"/>
      <c r="J67" s="299"/>
      <c r="K67" s="299"/>
      <c r="L67" s="57"/>
      <c r="M67" s="57"/>
      <c r="N67" s="103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 s="1" customFormat="1" ht="21.75" hidden="1" customHeight="1" x14ac:dyDescent="0.3">
      <c r="A68" s="113"/>
      <c r="B68" s="251" t="s">
        <v>11</v>
      </c>
      <c r="C68" s="113"/>
      <c r="D68" s="101"/>
      <c r="E68" s="101"/>
      <c r="F68" s="101">
        <v>265802.67</v>
      </c>
      <c r="G68" s="101">
        <v>63230</v>
      </c>
      <c r="H68" s="101">
        <f t="shared" ref="H68:H78" si="60">SUM(F68,-G68)</f>
        <v>202572.66999999998</v>
      </c>
      <c r="I68" s="103"/>
      <c r="J68" s="299"/>
      <c r="K68" s="299"/>
      <c r="L68" s="57"/>
      <c r="M68" s="57"/>
      <c r="N68" s="103"/>
      <c r="O68" s="57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57"/>
    </row>
    <row r="69" spans="1:28" s="1" customFormat="1" ht="23.25" hidden="1" customHeight="1" thickBot="1" x14ac:dyDescent="0.35">
      <c r="A69" s="113"/>
      <c r="B69" s="251" t="s">
        <v>97</v>
      </c>
      <c r="C69" s="113"/>
      <c r="D69" s="101"/>
      <c r="E69" s="101"/>
      <c r="F69" s="194">
        <v>535666.94999999995</v>
      </c>
      <c r="G69" s="298">
        <f>SUM(G70:G77)</f>
        <v>321908.03999999998</v>
      </c>
      <c r="H69" s="101">
        <f t="shared" si="60"/>
        <v>213758.90999999997</v>
      </c>
      <c r="I69" s="103"/>
      <c r="J69" s="299"/>
      <c r="K69" s="299"/>
      <c r="L69" s="57"/>
      <c r="M69" s="57"/>
      <c r="N69" s="103"/>
      <c r="O69" s="57"/>
      <c r="P69" s="300"/>
      <c r="Q69" s="301"/>
      <c r="R69" s="302"/>
      <c r="S69" s="303"/>
      <c r="T69" s="303"/>
      <c r="U69" s="303"/>
      <c r="V69" s="303"/>
      <c r="W69" s="303"/>
      <c r="X69" s="303"/>
      <c r="Y69" s="303"/>
      <c r="Z69" s="303"/>
      <c r="AA69" s="300"/>
      <c r="AB69" s="57"/>
    </row>
    <row r="70" spans="1:28" s="1" customFormat="1" ht="22.5" hidden="1" customHeight="1" x14ac:dyDescent="0.3">
      <c r="A70" s="113"/>
      <c r="B70" s="251" t="s">
        <v>87</v>
      </c>
      <c r="C70" s="113"/>
      <c r="D70" s="101"/>
      <c r="E70" s="101"/>
      <c r="F70" s="101"/>
      <c r="G70" s="298">
        <v>173058</v>
      </c>
      <c r="H70" s="101">
        <f t="shared" si="60"/>
        <v>-173058</v>
      </c>
      <c r="I70" s="103"/>
      <c r="J70" s="299"/>
      <c r="K70" s="299"/>
      <c r="L70" s="57"/>
      <c r="M70" s="57"/>
      <c r="N70" s="103"/>
      <c r="O70" s="57"/>
      <c r="P70" s="300"/>
      <c r="Q70" s="303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57"/>
    </row>
    <row r="71" spans="1:28" s="1" customFormat="1" ht="22.5" hidden="1" customHeight="1" x14ac:dyDescent="0.3">
      <c r="A71" s="113"/>
      <c r="B71" s="251" t="s">
        <v>73</v>
      </c>
      <c r="C71" s="113"/>
      <c r="D71" s="101"/>
      <c r="E71" s="101"/>
      <c r="F71" s="101"/>
      <c r="G71" s="298">
        <v>59821.02</v>
      </c>
      <c r="H71" s="101">
        <f t="shared" si="60"/>
        <v>-59821.02</v>
      </c>
      <c r="I71" s="103"/>
      <c r="J71" s="299"/>
      <c r="K71" s="299"/>
      <c r="L71" s="57"/>
      <c r="M71" s="57"/>
      <c r="N71" s="103"/>
      <c r="O71" s="57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57"/>
    </row>
    <row r="72" spans="1:28" s="1" customFormat="1" ht="22.5" hidden="1" customHeight="1" x14ac:dyDescent="0.3">
      <c r="A72" s="113"/>
      <c r="B72" s="251" t="s">
        <v>95</v>
      </c>
      <c r="C72" s="113"/>
      <c r="D72" s="101"/>
      <c r="E72" s="101"/>
      <c r="F72" s="101"/>
      <c r="G72" s="298">
        <v>8770.7900000000009</v>
      </c>
      <c r="H72" s="101">
        <f t="shared" si="60"/>
        <v>-8770.7900000000009</v>
      </c>
      <c r="I72" s="103"/>
      <c r="J72" s="299"/>
      <c r="K72" s="299"/>
      <c r="L72" s="57"/>
      <c r="M72" s="57"/>
      <c r="N72" s="103"/>
      <c r="O72" s="57"/>
      <c r="P72" s="300"/>
      <c r="Q72" s="304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57"/>
    </row>
    <row r="73" spans="1:28" s="1" customFormat="1" ht="22.5" hidden="1" customHeight="1" x14ac:dyDescent="0.3">
      <c r="A73" s="113"/>
      <c r="B73" s="216" t="s">
        <v>96</v>
      </c>
      <c r="C73" s="113"/>
      <c r="D73" s="101"/>
      <c r="E73" s="101"/>
      <c r="F73" s="101"/>
      <c r="G73" s="298">
        <v>34855</v>
      </c>
      <c r="H73" s="101">
        <f t="shared" si="60"/>
        <v>-34855</v>
      </c>
      <c r="I73" s="103"/>
      <c r="J73" s="299"/>
      <c r="K73" s="299"/>
      <c r="L73" s="57"/>
      <c r="M73" s="57"/>
      <c r="N73" s="103"/>
      <c r="O73" s="57"/>
      <c r="P73" s="300"/>
      <c r="Q73" s="304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57"/>
    </row>
    <row r="74" spans="1:28" s="1" customFormat="1" ht="22.5" hidden="1" customHeight="1" x14ac:dyDescent="0.3">
      <c r="A74" s="113"/>
      <c r="B74" s="216" t="s">
        <v>30</v>
      </c>
      <c r="C74" s="113"/>
      <c r="D74" s="101"/>
      <c r="E74" s="101"/>
      <c r="F74" s="101"/>
      <c r="G74" s="298">
        <v>45403.23</v>
      </c>
      <c r="H74" s="101">
        <f t="shared" si="60"/>
        <v>-45403.23</v>
      </c>
      <c r="I74" s="103"/>
      <c r="J74" s="299"/>
      <c r="K74" s="299"/>
      <c r="L74" s="57"/>
      <c r="M74" s="57"/>
      <c r="N74" s="103"/>
      <c r="O74" s="57"/>
      <c r="P74" s="300"/>
      <c r="Q74" s="304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57"/>
    </row>
    <row r="75" spans="1:28" s="1" customFormat="1" ht="22.5" hidden="1" customHeight="1" x14ac:dyDescent="0.3">
      <c r="A75" s="113"/>
      <c r="B75" s="251"/>
      <c r="C75" s="113"/>
      <c r="D75" s="101"/>
      <c r="E75" s="101"/>
      <c r="F75" s="101"/>
      <c r="G75" s="298"/>
      <c r="H75" s="101">
        <f t="shared" si="60"/>
        <v>0</v>
      </c>
      <c r="I75" s="103"/>
      <c r="J75" s="299"/>
      <c r="K75" s="299"/>
      <c r="L75" s="57"/>
      <c r="M75" s="57"/>
      <c r="N75" s="103"/>
      <c r="O75" s="57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57"/>
    </row>
    <row r="76" spans="1:28" s="1" customFormat="1" ht="22.5" hidden="1" customHeight="1" x14ac:dyDescent="0.3">
      <c r="A76" s="113"/>
      <c r="B76" s="251"/>
      <c r="C76" s="113"/>
      <c r="D76" s="101"/>
      <c r="E76" s="101"/>
      <c r="F76" s="101"/>
      <c r="G76" s="298"/>
      <c r="H76" s="101">
        <f t="shared" si="60"/>
        <v>0</v>
      </c>
      <c r="I76" s="103"/>
      <c r="J76" s="299"/>
      <c r="K76" s="299"/>
      <c r="L76" s="57"/>
      <c r="M76" s="57"/>
      <c r="N76" s="103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 s="1" customFormat="1" ht="17.25" hidden="1" customHeight="1" x14ac:dyDescent="0.3">
      <c r="A77" s="113"/>
      <c r="B77" s="251"/>
      <c r="C77" s="113"/>
      <c r="D77" s="101"/>
      <c r="E77" s="101"/>
      <c r="F77" s="101"/>
      <c r="G77" s="101"/>
      <c r="H77" s="101">
        <f t="shared" si="60"/>
        <v>0</v>
      </c>
      <c r="I77" s="103"/>
      <c r="J77" s="57"/>
      <c r="K77" s="57"/>
      <c r="L77" s="57"/>
      <c r="M77" s="57"/>
      <c r="N77" s="103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</row>
    <row r="78" spans="1:28" s="1" customFormat="1" ht="17.25" hidden="1" customHeight="1" thickBot="1" x14ac:dyDescent="0.35">
      <c r="A78" s="305"/>
      <c r="B78" s="306" t="s">
        <v>88</v>
      </c>
      <c r="C78" s="307"/>
      <c r="D78" s="308"/>
      <c r="E78" s="308"/>
      <c r="F78" s="308">
        <f>SUM(F69:F77)</f>
        <v>535666.94999999995</v>
      </c>
      <c r="G78" s="308">
        <f>SUM(G70:G77)</f>
        <v>321908.03999999998</v>
      </c>
      <c r="H78" s="309">
        <f t="shared" si="60"/>
        <v>213758.90999999997</v>
      </c>
      <c r="I78" s="103"/>
      <c r="J78" s="57"/>
      <c r="K78" s="57"/>
      <c r="L78" s="57"/>
      <c r="M78" s="57"/>
      <c r="N78" s="103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</row>
    <row r="79" spans="1:28" s="1" customFormat="1" ht="17.25" hidden="1" customHeight="1" thickBot="1" x14ac:dyDescent="0.35">
      <c r="A79" s="310"/>
      <c r="B79" s="311" t="s">
        <v>67</v>
      </c>
      <c r="C79" s="312"/>
      <c r="D79" s="313"/>
      <c r="E79" s="313"/>
      <c r="F79" s="313">
        <f>SUM(F66:F77)</f>
        <v>894800.61999999988</v>
      </c>
      <c r="G79" s="313">
        <f>SUM(G66:G78)</f>
        <v>1099427.22</v>
      </c>
      <c r="H79" s="314">
        <f>SUM(H66:H77)</f>
        <v>117281.43999999997</v>
      </c>
      <c r="I79" s="103"/>
      <c r="J79" s="57"/>
      <c r="K79" s="57"/>
      <c r="L79" s="57"/>
      <c r="M79" s="57"/>
      <c r="N79" s="103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</row>
    <row r="80" spans="1:28" s="15" customFormat="1" ht="26.25" hidden="1" customHeight="1" thickBot="1" x14ac:dyDescent="0.35">
      <c r="A80" s="42" t="s">
        <v>31</v>
      </c>
      <c r="B80" s="315" t="s">
        <v>37</v>
      </c>
      <c r="C80" s="315"/>
      <c r="D80" s="316"/>
      <c r="E80" s="316"/>
      <c r="F80" s="316" t="s">
        <v>38</v>
      </c>
      <c r="G80" s="316" t="s">
        <v>39</v>
      </c>
      <c r="H80" s="317" t="s">
        <v>40</v>
      </c>
      <c r="I80" s="290"/>
      <c r="J80" s="291"/>
      <c r="K80" s="291"/>
      <c r="L80" s="291"/>
      <c r="M80" s="291"/>
      <c r="N80" s="290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</row>
    <row r="81" spans="1:28" s="1" customFormat="1" ht="17.25" hidden="1" customHeight="1" x14ac:dyDescent="0.3">
      <c r="A81" s="318"/>
      <c r="B81" s="319" t="s">
        <v>11</v>
      </c>
      <c r="C81" s="318"/>
      <c r="D81" s="260"/>
      <c r="E81" s="260"/>
      <c r="F81" s="260">
        <v>162528</v>
      </c>
      <c r="G81" s="260">
        <v>81880.28</v>
      </c>
      <c r="H81" s="260">
        <f>F81-G81</f>
        <v>80647.72</v>
      </c>
      <c r="I81" s="103"/>
      <c r="J81" s="57"/>
      <c r="K81" s="57"/>
      <c r="L81" s="57"/>
      <c r="M81" s="57"/>
      <c r="N81" s="103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</row>
    <row r="82" spans="1:28" s="1" customFormat="1" ht="17.25" hidden="1" customHeight="1" thickBot="1" x14ac:dyDescent="0.35">
      <c r="A82" s="320"/>
      <c r="B82" s="321">
        <v>2012</v>
      </c>
      <c r="C82" s="322"/>
      <c r="D82" s="323"/>
      <c r="E82" s="323"/>
      <c r="F82" s="323"/>
      <c r="G82" s="323">
        <v>80647.72</v>
      </c>
      <c r="H82" s="323"/>
      <c r="I82" s="103"/>
      <c r="J82" s="57"/>
      <c r="K82" s="57"/>
      <c r="L82" s="57"/>
      <c r="M82" s="57"/>
      <c r="N82" s="103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</row>
    <row r="83" spans="1:28" s="1" customFormat="1" ht="17.25" hidden="1" customHeight="1" thickBot="1" x14ac:dyDescent="0.35">
      <c r="A83" s="324"/>
      <c r="B83" s="325" t="s">
        <v>36</v>
      </c>
      <c r="C83" s="326"/>
      <c r="D83" s="327"/>
      <c r="E83" s="327"/>
      <c r="F83" s="143">
        <f>F81</f>
        <v>162528</v>
      </c>
      <c r="G83" s="143">
        <f>SUM(G81:G82)</f>
        <v>162528</v>
      </c>
      <c r="H83" s="328">
        <f>SUM(F83,-G83)</f>
        <v>0</v>
      </c>
      <c r="I83" s="103"/>
      <c r="J83" s="57"/>
      <c r="K83" s="57"/>
      <c r="L83" s="57"/>
      <c r="M83" s="57"/>
      <c r="N83" s="103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</row>
    <row r="84" spans="1:28" s="15" customFormat="1" ht="28.5" hidden="1" customHeight="1" thickBot="1" x14ac:dyDescent="0.35">
      <c r="A84" s="42" t="s">
        <v>33</v>
      </c>
      <c r="B84" s="315" t="s">
        <v>56</v>
      </c>
      <c r="C84" s="315"/>
      <c r="D84" s="316"/>
      <c r="E84" s="316"/>
      <c r="F84" s="315" t="s">
        <v>45</v>
      </c>
      <c r="G84" s="316" t="s">
        <v>46</v>
      </c>
      <c r="H84" s="317" t="s">
        <v>40</v>
      </c>
      <c r="I84" s="329"/>
      <c r="J84" s="66"/>
      <c r="K84" s="66"/>
      <c r="L84" s="291"/>
      <c r="M84" s="291"/>
      <c r="N84" s="290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</row>
    <row r="85" spans="1:28" s="1" customFormat="1" ht="18.75" hidden="1" customHeight="1" x14ac:dyDescent="0.3">
      <c r="A85" s="109"/>
      <c r="B85" s="246" t="s">
        <v>44</v>
      </c>
      <c r="C85" s="109"/>
      <c r="D85" s="110"/>
      <c r="E85" s="110"/>
      <c r="F85" s="110">
        <v>197321.22</v>
      </c>
      <c r="G85" s="110"/>
      <c r="H85" s="110"/>
      <c r="I85" s="103"/>
      <c r="J85" s="57"/>
      <c r="K85" s="57"/>
      <c r="L85" s="57"/>
      <c r="M85" s="57"/>
      <c r="N85" s="103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</row>
    <row r="86" spans="1:28" s="1" customFormat="1" ht="18.75" hidden="1" customHeight="1" thickBot="1" x14ac:dyDescent="0.35">
      <c r="A86" s="241"/>
      <c r="B86" s="330" t="s">
        <v>11</v>
      </c>
      <c r="C86" s="241"/>
      <c r="D86" s="167"/>
      <c r="E86" s="167"/>
      <c r="F86" s="260">
        <v>416452.25</v>
      </c>
      <c r="G86" s="252">
        <v>1310686.27</v>
      </c>
      <c r="H86" s="167">
        <f>F85+F86-G86</f>
        <v>-696912.8</v>
      </c>
      <c r="I86" s="103"/>
      <c r="J86" s="57"/>
      <c r="K86" s="57"/>
      <c r="L86" s="57"/>
      <c r="M86" s="57"/>
      <c r="N86" s="103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</row>
    <row r="87" spans="1:28" s="1" customFormat="1" ht="31.5" hidden="1" customHeight="1" x14ac:dyDescent="0.3">
      <c r="A87" s="331"/>
      <c r="B87" s="332" t="s">
        <v>52</v>
      </c>
      <c r="C87" s="333"/>
      <c r="D87" s="334"/>
      <c r="E87" s="334"/>
      <c r="F87" s="69">
        <v>465951.48</v>
      </c>
      <c r="G87" s="295"/>
      <c r="H87" s="335"/>
      <c r="I87" s="103"/>
      <c r="J87" s="57"/>
      <c r="K87" s="57"/>
      <c r="L87" s="57"/>
      <c r="M87" s="57"/>
      <c r="N87" s="103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</row>
    <row r="88" spans="1:28" s="1" customFormat="1" ht="30" hidden="1" customHeight="1" x14ac:dyDescent="0.3">
      <c r="A88" s="336"/>
      <c r="B88" s="330" t="s">
        <v>85</v>
      </c>
      <c r="C88" s="241"/>
      <c r="D88" s="167"/>
      <c r="E88" s="167"/>
      <c r="F88" s="101"/>
      <c r="G88" s="101">
        <v>108923</v>
      </c>
      <c r="H88" s="337"/>
      <c r="I88" s="103"/>
      <c r="J88" s="57"/>
      <c r="K88" s="57"/>
      <c r="L88" s="57"/>
      <c r="M88" s="57"/>
      <c r="N88" s="103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</row>
    <row r="89" spans="1:28" s="1" customFormat="1" ht="18.75" hidden="1" customHeight="1" x14ac:dyDescent="0.3">
      <c r="A89" s="336"/>
      <c r="B89" s="251" t="s">
        <v>81</v>
      </c>
      <c r="C89" s="113"/>
      <c r="D89" s="101"/>
      <c r="E89" s="101"/>
      <c r="F89" s="101"/>
      <c r="G89" s="101">
        <v>22670</v>
      </c>
      <c r="H89" s="337"/>
      <c r="I89" s="103"/>
      <c r="J89" s="57"/>
      <c r="K89" s="57"/>
      <c r="L89" s="57"/>
      <c r="M89" s="57"/>
      <c r="N89" s="103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</row>
    <row r="90" spans="1:28" s="1" customFormat="1" ht="18.75" hidden="1" customHeight="1" x14ac:dyDescent="0.3">
      <c r="A90" s="336"/>
      <c r="B90" s="251" t="s">
        <v>83</v>
      </c>
      <c r="C90" s="113"/>
      <c r="D90" s="101"/>
      <c r="E90" s="101"/>
      <c r="F90" s="101"/>
      <c r="G90" s="101">
        <v>10520</v>
      </c>
      <c r="H90" s="337"/>
      <c r="I90" s="103"/>
      <c r="J90" s="57"/>
      <c r="K90" s="57"/>
      <c r="L90" s="57"/>
      <c r="M90" s="57"/>
      <c r="N90" s="103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</row>
    <row r="91" spans="1:28" s="1" customFormat="1" ht="18.75" hidden="1" customHeight="1" x14ac:dyDescent="0.3">
      <c r="A91" s="336"/>
      <c r="B91" s="251" t="s">
        <v>82</v>
      </c>
      <c r="C91" s="113"/>
      <c r="D91" s="101"/>
      <c r="E91" s="101"/>
      <c r="F91" s="101"/>
      <c r="G91" s="101">
        <v>10000</v>
      </c>
      <c r="H91" s="337"/>
      <c r="I91" s="103"/>
      <c r="J91" s="57"/>
      <c r="K91" s="57"/>
      <c r="L91" s="57"/>
      <c r="M91" s="57"/>
      <c r="N91" s="103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</row>
    <row r="92" spans="1:28" s="1" customFormat="1" ht="18.75" hidden="1" customHeight="1" x14ac:dyDescent="0.3">
      <c r="A92" s="336"/>
      <c r="B92" s="216" t="s">
        <v>89</v>
      </c>
      <c r="C92" s="113"/>
      <c r="D92" s="101"/>
      <c r="E92" s="101"/>
      <c r="F92" s="101"/>
      <c r="G92" s="101">
        <v>40690</v>
      </c>
      <c r="H92" s="338">
        <v>0</v>
      </c>
      <c r="I92" s="339"/>
      <c r="J92" s="57"/>
      <c r="K92" s="57"/>
      <c r="L92" s="57"/>
      <c r="M92" s="57"/>
      <c r="N92" s="103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</row>
    <row r="93" spans="1:28" s="1" customFormat="1" ht="18.75" hidden="1" customHeight="1" x14ac:dyDescent="0.3">
      <c r="A93" s="336"/>
      <c r="B93" s="340" t="s">
        <v>94</v>
      </c>
      <c r="C93" s="113"/>
      <c r="D93" s="101"/>
      <c r="E93" s="101"/>
      <c r="F93" s="101"/>
      <c r="G93" s="101">
        <v>75000</v>
      </c>
      <c r="H93" s="337"/>
      <c r="I93" s="103"/>
      <c r="J93" s="57"/>
      <c r="K93" s="57"/>
      <c r="L93" s="57"/>
      <c r="M93" s="57"/>
      <c r="N93" s="103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</row>
    <row r="94" spans="1:28" s="1" customFormat="1" ht="30" hidden="1" customHeight="1" x14ac:dyDescent="0.3">
      <c r="A94" s="336"/>
      <c r="B94" s="216" t="s">
        <v>90</v>
      </c>
      <c r="C94" s="113"/>
      <c r="D94" s="101"/>
      <c r="E94" s="101"/>
      <c r="F94" s="101"/>
      <c r="G94" s="341">
        <v>45800</v>
      </c>
      <c r="H94" s="337"/>
      <c r="I94" s="103"/>
      <c r="J94" s="57"/>
      <c r="K94" s="57"/>
      <c r="L94" s="57"/>
      <c r="M94" s="57"/>
      <c r="N94" s="103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</row>
    <row r="95" spans="1:28" s="1" customFormat="1" ht="18.75" hidden="1" customHeight="1" x14ac:dyDescent="0.3">
      <c r="A95" s="336"/>
      <c r="B95" s="216" t="s">
        <v>93</v>
      </c>
      <c r="C95" s="113"/>
      <c r="D95" s="101"/>
      <c r="E95" s="101"/>
      <c r="F95" s="101"/>
      <c r="G95" s="101">
        <v>12500</v>
      </c>
      <c r="H95" s="337"/>
      <c r="I95" s="103"/>
      <c r="J95" s="57"/>
      <c r="K95" s="57"/>
      <c r="L95" s="57"/>
      <c r="M95" s="57"/>
      <c r="N95" s="103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</row>
    <row r="96" spans="1:28" s="1" customFormat="1" ht="17.25" hidden="1" customHeight="1" thickBot="1" x14ac:dyDescent="0.35">
      <c r="A96" s="342"/>
      <c r="B96" s="343" t="s">
        <v>84</v>
      </c>
      <c r="C96" s="344"/>
      <c r="D96" s="345"/>
      <c r="E96" s="345"/>
      <c r="F96" s="345">
        <f>SUM(F87:F95)</f>
        <v>465951.48</v>
      </c>
      <c r="G96" s="345">
        <f>SUM(G87:G95)</f>
        <v>326103</v>
      </c>
      <c r="H96" s="346">
        <f>SUM(F96,-G96)</f>
        <v>139848.47999999998</v>
      </c>
      <c r="I96" s="103"/>
      <c r="J96" s="57"/>
      <c r="K96" s="57"/>
      <c r="L96" s="57"/>
      <c r="M96" s="57"/>
      <c r="N96" s="103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</row>
    <row r="97" spans="1:28" s="1" customFormat="1" ht="17.25" hidden="1" customHeight="1" thickBot="1" x14ac:dyDescent="0.35">
      <c r="A97" s="324"/>
      <c r="B97" s="325" t="s">
        <v>66</v>
      </c>
      <c r="C97" s="326"/>
      <c r="D97" s="327"/>
      <c r="E97" s="327"/>
      <c r="F97" s="143">
        <f>SUM(F85:F95)</f>
        <v>1079724.95</v>
      </c>
      <c r="G97" s="143">
        <f>SUM(G86:G95)</f>
        <v>1636789.27</v>
      </c>
      <c r="H97" s="328">
        <f>SUM(H86,H96)</f>
        <v>-557064.32000000007</v>
      </c>
      <c r="I97" s="103"/>
      <c r="J97" s="57"/>
      <c r="K97" s="57"/>
      <c r="L97" s="57"/>
      <c r="M97" s="57"/>
      <c r="N97" s="103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</row>
    <row r="98" spans="1:28" s="15" customFormat="1" ht="47.25" customHeight="1" x14ac:dyDescent="0.3">
      <c r="A98" s="347"/>
      <c r="B98" s="347"/>
      <c r="C98" s="348"/>
      <c r="D98" s="101"/>
      <c r="E98" s="101"/>
      <c r="F98" s="101">
        <v>817352.6</v>
      </c>
      <c r="G98" s="101">
        <f>440000+63740</f>
        <v>503740</v>
      </c>
      <c r="H98" s="110">
        <f t="shared" ref="H98:H104" si="61">F98-G98</f>
        <v>313612.59999999998</v>
      </c>
      <c r="I98" s="103"/>
      <c r="J98" s="252"/>
      <c r="K98" s="66"/>
      <c r="L98" s="291"/>
      <c r="M98" s="291"/>
      <c r="N98" s="290"/>
      <c r="O98" s="291"/>
      <c r="P98" s="291"/>
      <c r="Q98" s="291"/>
      <c r="R98" s="291"/>
      <c r="S98" s="291"/>
      <c r="T98" s="291"/>
      <c r="U98" s="291"/>
      <c r="V98" s="291"/>
      <c r="W98" s="57" t="s">
        <v>113</v>
      </c>
      <c r="X98" s="57"/>
      <c r="Y98" s="57"/>
      <c r="Z98" s="57" t="s">
        <v>114</v>
      </c>
      <c r="AA98" s="252"/>
      <c r="AB98" s="291"/>
    </row>
    <row r="99" spans="1:28" s="1" customFormat="1" ht="18.75" customHeight="1" x14ac:dyDescent="0.3">
      <c r="A99" s="300"/>
      <c r="B99" s="347"/>
      <c r="C99" s="349"/>
      <c r="D99" s="350"/>
      <c r="E99" s="350"/>
      <c r="F99" s="350">
        <v>2272203.23</v>
      </c>
      <c r="G99" s="350">
        <v>1045000</v>
      </c>
      <c r="H99" s="351">
        <f>SUM(F99,-G99)</f>
        <v>1227203.23</v>
      </c>
      <c r="I99" s="103"/>
      <c r="J99" s="252"/>
      <c r="K99" s="66"/>
      <c r="L99" s="66"/>
      <c r="M99" s="66"/>
      <c r="N99" s="66"/>
      <c r="O99" s="66"/>
      <c r="P99" s="66"/>
      <c r="Q99" s="66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</row>
    <row r="100" spans="1:28" s="1" customFormat="1" ht="18.75" customHeight="1" thickBot="1" x14ac:dyDescent="0.35">
      <c r="A100" s="300"/>
      <c r="B100" s="352"/>
      <c r="C100" s="349"/>
      <c r="D100" s="350"/>
      <c r="E100" s="350"/>
      <c r="F100" s="350"/>
      <c r="G100" s="353">
        <v>3307.46</v>
      </c>
      <c r="H100" s="351">
        <v>-3307.46</v>
      </c>
      <c r="I100" s="103"/>
      <c r="J100" s="252"/>
      <c r="K100" s="57"/>
      <c r="L100" s="57"/>
      <c r="M100" s="57"/>
      <c r="N100" s="103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</row>
    <row r="101" spans="1:28" s="1" customFormat="1" ht="18.75" customHeight="1" x14ac:dyDescent="0.3">
      <c r="A101" s="300"/>
      <c r="B101" s="347"/>
      <c r="C101" s="349"/>
      <c r="D101" s="350"/>
      <c r="E101" s="350"/>
      <c r="F101" s="350"/>
      <c r="G101" s="296">
        <v>70473.100000000006</v>
      </c>
      <c r="H101" s="351">
        <v>-70473</v>
      </c>
      <c r="I101" s="103"/>
      <c r="J101" s="252"/>
      <c r="K101" s="57"/>
      <c r="L101" s="57"/>
      <c r="M101" s="57"/>
      <c r="N101" s="103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</row>
    <row r="102" spans="1:28" s="1" customFormat="1" ht="18.75" customHeight="1" x14ac:dyDescent="0.3">
      <c r="A102" s="300"/>
      <c r="B102" s="347"/>
      <c r="C102" s="349"/>
      <c r="D102" s="350"/>
      <c r="E102" s="350"/>
      <c r="F102" s="350"/>
      <c r="G102" s="354"/>
      <c r="H102" s="351"/>
      <c r="I102" s="103"/>
      <c r="J102" s="252"/>
      <c r="K102" s="57"/>
      <c r="L102" s="57"/>
      <c r="M102" s="57"/>
      <c r="N102" s="103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</row>
    <row r="103" spans="1:28" s="1" customFormat="1" ht="18.75" customHeight="1" x14ac:dyDescent="0.25">
      <c r="A103" s="28"/>
      <c r="B103" s="38"/>
      <c r="C103" s="32"/>
      <c r="D103" s="22"/>
      <c r="E103" s="22"/>
      <c r="F103" s="22"/>
      <c r="G103" s="26"/>
      <c r="H103" s="23"/>
      <c r="I103" s="14"/>
      <c r="J103" s="19"/>
      <c r="N103" s="14"/>
    </row>
    <row r="104" spans="1:28" s="1" customFormat="1" ht="18.75" customHeight="1" thickBot="1" x14ac:dyDescent="0.3">
      <c r="A104" s="28"/>
      <c r="B104" s="38"/>
      <c r="C104" s="33"/>
      <c r="D104" s="11"/>
      <c r="E104" s="11"/>
      <c r="F104" s="11"/>
      <c r="G104" s="11">
        <v>9000</v>
      </c>
      <c r="H104" s="9">
        <f t="shared" si="61"/>
        <v>-9000</v>
      </c>
      <c r="I104" s="14"/>
      <c r="N104" s="14"/>
    </row>
    <row r="105" spans="1:28" s="1" customFormat="1" ht="18.75" customHeight="1" thickBot="1" x14ac:dyDescent="0.3">
      <c r="A105" s="28"/>
      <c r="B105" s="38"/>
      <c r="C105" s="34"/>
      <c r="D105" s="6"/>
      <c r="E105" s="6"/>
      <c r="F105" s="6">
        <f>SUM(F98:F104)</f>
        <v>3089555.83</v>
      </c>
      <c r="G105" s="6">
        <f>SUM(G98:G104)</f>
        <v>1631520.56</v>
      </c>
      <c r="H105" s="13">
        <f>SUM(F105,-G105)</f>
        <v>1458035.27</v>
      </c>
      <c r="I105" s="14">
        <f>SUM(H98:H104)</f>
        <v>1458035.37</v>
      </c>
      <c r="N105" s="14"/>
    </row>
    <row r="106" spans="1:28" s="1" customFormat="1" ht="16.5" customHeight="1" thickBot="1" x14ac:dyDescent="0.3">
      <c r="A106" s="28"/>
      <c r="B106" s="38"/>
      <c r="C106" s="31"/>
      <c r="D106" s="16"/>
      <c r="E106" s="16"/>
      <c r="F106" s="8" t="s">
        <v>43</v>
      </c>
      <c r="G106" s="16" t="s">
        <v>42</v>
      </c>
      <c r="H106" s="17" t="s">
        <v>41</v>
      </c>
      <c r="I106" s="18"/>
      <c r="J106" s="15"/>
      <c r="N106" s="14"/>
    </row>
    <row r="107" spans="1:28" s="1" customFormat="1" ht="17.25" customHeight="1" x14ac:dyDescent="0.25">
      <c r="A107" s="28"/>
      <c r="B107" s="39"/>
      <c r="C107" s="35"/>
      <c r="D107" s="23"/>
      <c r="E107" s="23"/>
      <c r="F107" s="24">
        <v>8812693.9199999999</v>
      </c>
      <c r="G107" s="24">
        <v>8812693.9199999999</v>
      </c>
      <c r="H107" s="25">
        <f>SUM(F107,-G107)</f>
        <v>0</v>
      </c>
      <c r="I107" s="14"/>
      <c r="N107" s="14"/>
    </row>
    <row r="108" spans="1:28" s="15" customFormat="1" ht="37.5" customHeight="1" x14ac:dyDescent="0.25">
      <c r="A108" s="38"/>
      <c r="B108" s="39"/>
      <c r="C108" s="36"/>
      <c r="D108" s="25"/>
      <c r="E108" s="25"/>
      <c r="F108" s="25">
        <v>2341681.91</v>
      </c>
      <c r="G108" s="25">
        <v>1863931.36</v>
      </c>
      <c r="H108" s="25">
        <f>SUM(F108,-G108)</f>
        <v>477750.55000000005</v>
      </c>
      <c r="I108" s="14"/>
      <c r="J108" s="1"/>
      <c r="N108" s="18"/>
    </row>
    <row r="109" spans="1:28" s="1" customFormat="1" ht="31.5" customHeight="1" thickBot="1" x14ac:dyDescent="0.3">
      <c r="A109" s="28"/>
      <c r="B109" s="39"/>
      <c r="C109" s="32"/>
      <c r="D109" s="22"/>
      <c r="E109" s="22"/>
      <c r="F109" s="21">
        <v>1540561.83</v>
      </c>
      <c r="G109" s="22">
        <f>SUM(F109,-H109)</f>
        <v>1387473.6500000001</v>
      </c>
      <c r="H109" s="25">
        <v>153088.18</v>
      </c>
      <c r="I109" s="14"/>
      <c r="N109" s="14"/>
    </row>
    <row r="110" spans="1:28" s="1" customFormat="1" ht="27.75" customHeight="1" thickBot="1" x14ac:dyDescent="0.3">
      <c r="A110" s="28"/>
      <c r="B110" s="37"/>
      <c r="C110" s="34"/>
      <c r="D110" s="6"/>
      <c r="E110" s="6"/>
      <c r="F110" s="12">
        <f>SUM(F107:F109)</f>
        <v>12694937.66</v>
      </c>
      <c r="G110" s="12">
        <f>SUM(G107:G109)</f>
        <v>12064098.93</v>
      </c>
      <c r="H110" s="12">
        <f>SUM(H107:H109)</f>
        <v>630838.73</v>
      </c>
      <c r="I110" s="14"/>
      <c r="N110" s="14"/>
    </row>
    <row r="111" spans="1:28" s="1" customFormat="1" ht="27.75" customHeight="1" x14ac:dyDescent="0.25">
      <c r="A111" s="28"/>
      <c r="B111"/>
      <c r="C111"/>
      <c r="D111"/>
      <c r="E111"/>
      <c r="F111"/>
      <c r="G111"/>
      <c r="H111"/>
      <c r="I111" s="10"/>
      <c r="J111"/>
      <c r="N111" s="14"/>
    </row>
    <row r="112" spans="1:28" s="1" customFormat="1" ht="17.25" customHeight="1" x14ac:dyDescent="0.25">
      <c r="A112" s="20"/>
      <c r="B112"/>
      <c r="C112"/>
      <c r="D112"/>
      <c r="E112"/>
      <c r="F112"/>
      <c r="G112"/>
      <c r="H112"/>
      <c r="I112" s="10"/>
      <c r="J112"/>
      <c r="N112" s="14"/>
    </row>
    <row r="113" ht="19.5" customHeight="1" x14ac:dyDescent="0.25"/>
  </sheetData>
  <mergeCells count="17">
    <mergeCell ref="A1:F1"/>
    <mergeCell ref="A2:F2"/>
    <mergeCell ref="A3:F3"/>
    <mergeCell ref="A4:B4"/>
    <mergeCell ref="A8:A9"/>
    <mergeCell ref="B8:B9"/>
    <mergeCell ref="C8:E8"/>
    <mergeCell ref="AA8:AB9"/>
    <mergeCell ref="B10:H10"/>
    <mergeCell ref="B48:H48"/>
    <mergeCell ref="J66:K66"/>
    <mergeCell ref="H8:H9"/>
    <mergeCell ref="K8:K9"/>
    <mergeCell ref="S8:T9"/>
    <mergeCell ref="U8:V9"/>
    <mergeCell ref="W8:X9"/>
    <mergeCell ref="Y8:Z9"/>
  </mergeCells>
  <pageMargins left="0.59055118110236227" right="0.39370078740157483" top="0" bottom="0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abSelected="1" topLeftCell="A60" zoomScale="75" zoomScaleNormal="75" workbookViewId="0">
      <selection activeCell="D58" sqref="D58"/>
    </sheetView>
  </sheetViews>
  <sheetFormatPr defaultRowHeight="13.2" x14ac:dyDescent="0.25"/>
  <cols>
    <col min="1" max="1" width="9.44140625" customWidth="1"/>
    <col min="2" max="2" width="16.5546875" customWidth="1"/>
    <col min="3" max="3" width="43.33203125" customWidth="1"/>
    <col min="4" max="4" width="11.88671875" customWidth="1"/>
    <col min="7" max="7" width="18.5546875" customWidth="1"/>
    <col min="8" max="8" width="23.33203125" customWidth="1"/>
    <col min="9" max="9" width="20.5546875" customWidth="1"/>
    <col min="10" max="10" width="19.5546875" customWidth="1"/>
    <col min="11" max="11" width="15" customWidth="1"/>
    <col min="12" max="12" width="17" customWidth="1"/>
    <col min="13" max="13" width="13.88671875" customWidth="1"/>
    <col min="14" max="14" width="15.5546875" customWidth="1"/>
    <col min="15" max="15" width="16.6640625" customWidth="1"/>
    <col min="16" max="16" width="16.109375" customWidth="1"/>
    <col min="17" max="18" width="17.5546875" customWidth="1"/>
    <col min="19" max="19" width="15.88671875" customWidth="1"/>
    <col min="20" max="20" width="18.109375" customWidth="1"/>
    <col min="21" max="21" width="12.109375" bestFit="1" customWidth="1"/>
  </cols>
  <sheetData>
    <row r="1" spans="2:20" ht="17.399999999999999" x14ac:dyDescent="0.3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2:20" ht="22.5" customHeight="1" thickBot="1" x14ac:dyDescent="0.35">
      <c r="B2" s="51"/>
      <c r="C2" s="51"/>
      <c r="D2" s="51"/>
      <c r="E2" s="51" t="s">
        <v>211</v>
      </c>
      <c r="F2" s="51"/>
      <c r="G2" s="51"/>
      <c r="H2" s="51"/>
      <c r="I2" s="51" t="s">
        <v>239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2:20" ht="27" customHeight="1" x14ac:dyDescent="0.3">
      <c r="B3" s="51"/>
      <c r="C3" s="51"/>
      <c r="D3" s="51"/>
      <c r="E3" s="51"/>
      <c r="F3" s="51"/>
      <c r="G3" s="51"/>
      <c r="H3" s="51"/>
      <c r="I3" s="51"/>
      <c r="J3" s="51"/>
      <c r="K3" s="355" t="s">
        <v>70</v>
      </c>
      <c r="L3" s="356"/>
      <c r="M3" s="661" t="s">
        <v>76</v>
      </c>
      <c r="N3" s="662"/>
      <c r="O3" s="639" t="s">
        <v>77</v>
      </c>
      <c r="P3" s="640"/>
      <c r="Q3" s="667" t="s">
        <v>78</v>
      </c>
      <c r="R3" s="668"/>
      <c r="S3" s="671" t="s">
        <v>80</v>
      </c>
      <c r="T3" s="672"/>
    </row>
    <row r="4" spans="2:20" ht="29.25" customHeight="1" thickBot="1" x14ac:dyDescent="0.35">
      <c r="B4" s="51"/>
      <c r="C4" s="51"/>
      <c r="D4" s="51"/>
      <c r="E4" s="51"/>
      <c r="F4" s="51"/>
      <c r="G4" s="51"/>
      <c r="H4" s="51"/>
      <c r="I4" s="51"/>
      <c r="J4" s="51"/>
      <c r="K4" s="357" t="s">
        <v>118</v>
      </c>
      <c r="L4" s="358" t="s">
        <v>119</v>
      </c>
      <c r="M4" s="663"/>
      <c r="N4" s="664"/>
      <c r="O4" s="665"/>
      <c r="P4" s="666"/>
      <c r="Q4" s="669"/>
      <c r="R4" s="670"/>
      <c r="S4" s="673"/>
      <c r="T4" s="674"/>
    </row>
    <row r="5" spans="2:20" ht="18" hidden="1" thickBot="1" x14ac:dyDescent="0.35">
      <c r="B5" s="63"/>
      <c r="C5" s="359"/>
      <c r="D5" s="63"/>
      <c r="E5" s="252"/>
      <c r="F5" s="252"/>
      <c r="G5" s="63"/>
      <c r="H5" s="252"/>
      <c r="I5" s="63"/>
      <c r="J5" s="252"/>
      <c r="K5" s="360"/>
      <c r="L5" s="361"/>
      <c r="M5" s="362" t="s">
        <v>75</v>
      </c>
      <c r="N5" s="363">
        <v>12</v>
      </c>
      <c r="O5" s="364" t="s">
        <v>74</v>
      </c>
      <c r="P5" s="365">
        <v>12</v>
      </c>
      <c r="Q5" s="366"/>
      <c r="R5" s="367">
        <v>12</v>
      </c>
      <c r="S5" s="368"/>
      <c r="T5" s="369">
        <v>6</v>
      </c>
    </row>
    <row r="6" spans="2:20" ht="177" customHeight="1" thickBot="1" x14ac:dyDescent="0.35">
      <c r="B6" s="40" t="s">
        <v>102</v>
      </c>
      <c r="C6" s="370" t="s">
        <v>20</v>
      </c>
      <c r="D6" s="370"/>
      <c r="E6" s="371"/>
      <c r="F6" s="371"/>
      <c r="G6" s="371" t="s">
        <v>45</v>
      </c>
      <c r="H6" s="371" t="s">
        <v>55</v>
      </c>
      <c r="I6" s="372" t="s">
        <v>40</v>
      </c>
      <c r="J6" s="373"/>
      <c r="K6" s="374"/>
      <c r="L6" s="375"/>
      <c r="M6" s="371" t="s">
        <v>243</v>
      </c>
      <c r="N6" s="371" t="s">
        <v>55</v>
      </c>
      <c r="O6" s="371" t="s">
        <v>243</v>
      </c>
      <c r="P6" s="371" t="s">
        <v>55</v>
      </c>
      <c r="Q6" s="371" t="s">
        <v>243</v>
      </c>
      <c r="R6" s="371" t="s">
        <v>55</v>
      </c>
      <c r="S6" s="371" t="s">
        <v>243</v>
      </c>
      <c r="T6" s="371" t="s">
        <v>55</v>
      </c>
    </row>
    <row r="7" spans="2:20" ht="34.799999999999997" hidden="1" x14ac:dyDescent="0.3">
      <c r="B7" s="376"/>
      <c r="C7" s="377" t="s">
        <v>44</v>
      </c>
      <c r="D7" s="378"/>
      <c r="E7" s="379"/>
      <c r="F7" s="379"/>
      <c r="G7" s="379"/>
      <c r="H7" s="380"/>
      <c r="I7" s="381"/>
      <c r="J7" s="373" t="s">
        <v>47</v>
      </c>
      <c r="K7" s="382"/>
      <c r="L7" s="383">
        <v>2010</v>
      </c>
      <c r="M7" s="382">
        <v>93331</v>
      </c>
      <c r="N7" s="384">
        <v>70473.100000000006</v>
      </c>
      <c r="O7" s="382"/>
      <c r="P7" s="384"/>
      <c r="Q7" s="382"/>
      <c r="R7" s="384"/>
      <c r="S7" s="382"/>
      <c r="T7" s="384"/>
    </row>
    <row r="8" spans="2:20" ht="17.399999999999999" hidden="1" x14ac:dyDescent="0.3">
      <c r="B8" s="385"/>
      <c r="C8" s="386" t="s">
        <v>64</v>
      </c>
      <c r="D8" s="385"/>
      <c r="E8" s="387"/>
      <c r="F8" s="387"/>
      <c r="G8" s="387"/>
      <c r="H8" s="388"/>
      <c r="I8" s="387"/>
      <c r="J8" s="389"/>
      <c r="K8" s="675" t="s">
        <v>104</v>
      </c>
      <c r="L8" s="676"/>
      <c r="M8" s="390"/>
      <c r="N8" s="391">
        <v>-70473.100000000006</v>
      </c>
      <c r="O8" s="392"/>
      <c r="P8" s="393"/>
      <c r="Q8" s="392"/>
      <c r="R8" s="393"/>
      <c r="S8" s="392"/>
      <c r="T8" s="393"/>
    </row>
    <row r="9" spans="2:20" ht="18" hidden="1" thickBot="1" x14ac:dyDescent="0.35">
      <c r="B9" s="385"/>
      <c r="C9" s="386"/>
      <c r="D9" s="385"/>
      <c r="E9" s="387"/>
      <c r="F9" s="387"/>
      <c r="G9" s="387"/>
      <c r="H9" s="388"/>
      <c r="I9" s="387"/>
      <c r="J9" s="389"/>
      <c r="K9" s="675" t="s">
        <v>103</v>
      </c>
      <c r="L9" s="676"/>
      <c r="M9" s="394">
        <v>93331</v>
      </c>
      <c r="N9" s="395"/>
      <c r="O9" s="392"/>
      <c r="P9" s="393"/>
      <c r="Q9" s="392"/>
      <c r="R9" s="393"/>
      <c r="S9" s="392"/>
      <c r="T9" s="393"/>
    </row>
    <row r="10" spans="2:20" ht="17.399999999999999" hidden="1" x14ac:dyDescent="0.3">
      <c r="B10" s="385"/>
      <c r="C10" s="386" t="s">
        <v>11</v>
      </c>
      <c r="D10" s="385"/>
      <c r="E10" s="387"/>
      <c r="F10" s="387"/>
      <c r="G10" s="396"/>
      <c r="H10" s="396"/>
      <c r="I10" s="396"/>
      <c r="J10" s="389"/>
      <c r="K10" s="392">
        <v>0</v>
      </c>
      <c r="L10" s="397">
        <v>2011</v>
      </c>
      <c r="M10" s="398">
        <v>154000</v>
      </c>
      <c r="N10" s="399">
        <v>63230</v>
      </c>
      <c r="O10" s="392">
        <v>98766.67</v>
      </c>
      <c r="P10" s="393"/>
      <c r="Q10" s="392">
        <v>13036</v>
      </c>
      <c r="R10" s="393"/>
      <c r="S10" s="392">
        <v>0</v>
      </c>
      <c r="T10" s="393"/>
    </row>
    <row r="11" spans="2:20" ht="18" hidden="1" thickBot="1" x14ac:dyDescent="0.35">
      <c r="B11" s="385"/>
      <c r="C11" s="386" t="s">
        <v>105</v>
      </c>
      <c r="D11" s="385"/>
      <c r="E11" s="387"/>
      <c r="F11" s="400"/>
      <c r="G11" s="401"/>
      <c r="H11" s="402"/>
      <c r="I11" s="403"/>
      <c r="J11" s="389"/>
      <c r="K11" s="404">
        <v>0</v>
      </c>
      <c r="L11" s="405">
        <f>PRODUCT(K11/51743.29/12)</f>
        <v>0</v>
      </c>
      <c r="M11" s="406">
        <f>PRODUCT(K11/21,12,3/39094.49,12935.1)</f>
        <v>0</v>
      </c>
      <c r="N11" s="407">
        <v>0</v>
      </c>
      <c r="O11" s="406">
        <f>PRODUCT(K11/21,8,3/39094.49,12720.7)</f>
        <v>0</v>
      </c>
      <c r="P11" s="407"/>
      <c r="Q11" s="406">
        <v>0</v>
      </c>
      <c r="R11" s="407"/>
      <c r="S11" s="406"/>
      <c r="T11" s="407"/>
    </row>
    <row r="12" spans="2:20" ht="17.399999999999999" hidden="1" x14ac:dyDescent="0.3">
      <c r="B12" s="385"/>
      <c r="C12" s="386"/>
      <c r="D12" s="385"/>
      <c r="E12" s="387"/>
      <c r="F12" s="387"/>
      <c r="G12" s="408"/>
      <c r="H12" s="409"/>
      <c r="I12" s="409"/>
      <c r="J12" s="389"/>
      <c r="K12" s="410"/>
      <c r="L12" s="411"/>
      <c r="M12" s="412"/>
      <c r="N12" s="413"/>
      <c r="O12" s="412"/>
      <c r="P12" s="413"/>
      <c r="Q12" s="412"/>
      <c r="R12" s="413"/>
      <c r="S12" s="412"/>
      <c r="T12" s="413"/>
    </row>
    <row r="13" spans="2:20" ht="18" hidden="1" thickBot="1" x14ac:dyDescent="0.35">
      <c r="B13" s="385"/>
      <c r="C13" s="386"/>
      <c r="D13" s="385"/>
      <c r="E13" s="387"/>
      <c r="F13" s="387"/>
      <c r="G13" s="408"/>
      <c r="H13" s="387"/>
      <c r="I13" s="387"/>
      <c r="J13" s="389"/>
      <c r="K13" s="677" t="s">
        <v>100</v>
      </c>
      <c r="L13" s="677"/>
      <c r="M13" s="406">
        <f>SUM(M9,M10,M11,M12,-N10,-N11,-N12)</f>
        <v>184101</v>
      </c>
      <c r="N13" s="407"/>
      <c r="O13" s="406">
        <f>SUM(O10:O11)</f>
        <v>98766.67</v>
      </c>
      <c r="P13" s="407"/>
      <c r="Q13" s="406">
        <f>SUM(Q10:Q11)</f>
        <v>13036</v>
      </c>
      <c r="R13" s="407"/>
      <c r="S13" s="414">
        <v>0</v>
      </c>
      <c r="T13" s="407"/>
    </row>
    <row r="14" spans="2:20" ht="25.5" hidden="1" customHeight="1" x14ac:dyDescent="0.3">
      <c r="B14" s="415"/>
      <c r="C14" s="416" t="s">
        <v>97</v>
      </c>
      <c r="D14" s="415"/>
      <c r="E14" s="396"/>
      <c r="F14" s="396"/>
      <c r="G14" s="417"/>
      <c r="H14" s="418"/>
      <c r="I14" s="396"/>
      <c r="J14" s="389"/>
      <c r="K14" s="419">
        <f>SUM(M14:S14)</f>
        <v>926702.44000000006</v>
      </c>
      <c r="L14" s="375"/>
      <c r="M14" s="419">
        <v>153668.98000000001</v>
      </c>
      <c r="N14" s="420">
        <v>128087.46</v>
      </c>
      <c r="O14" s="419">
        <v>151121.92000000001</v>
      </c>
      <c r="P14" s="420">
        <v>125964.4</v>
      </c>
      <c r="Q14" s="419">
        <v>159651.64000000001</v>
      </c>
      <c r="R14" s="420">
        <v>133074.17000000001</v>
      </c>
      <c r="S14" s="419">
        <v>75133.87</v>
      </c>
      <c r="T14" s="420">
        <v>64521.02</v>
      </c>
    </row>
    <row r="15" spans="2:20" ht="25.5" hidden="1" customHeight="1" x14ac:dyDescent="0.3">
      <c r="B15" s="385"/>
      <c r="C15" s="386" t="s">
        <v>110</v>
      </c>
      <c r="D15" s="385"/>
      <c r="E15" s="387"/>
      <c r="F15" s="387"/>
      <c r="G15" s="408"/>
      <c r="H15" s="388"/>
      <c r="I15" s="387"/>
      <c r="J15" s="387"/>
      <c r="K15" s="421">
        <v>614709.22</v>
      </c>
      <c r="L15" s="421">
        <f>SUM(N15,P15,R15,T15)</f>
        <v>640258.57000000007</v>
      </c>
      <c r="M15" s="421">
        <v>153668.99</v>
      </c>
      <c r="N15" s="421">
        <v>160055.98000000001</v>
      </c>
      <c r="O15" s="421">
        <v>151121.92000000001</v>
      </c>
      <c r="P15" s="421">
        <v>157403.04</v>
      </c>
      <c r="Q15" s="421">
        <v>159650.57</v>
      </c>
      <c r="R15" s="421">
        <v>166286.18</v>
      </c>
      <c r="S15" s="421">
        <v>150267.74</v>
      </c>
      <c r="T15" s="421">
        <v>156513.37</v>
      </c>
    </row>
    <row r="16" spans="2:20" ht="21" customHeight="1" thickBot="1" x14ac:dyDescent="0.35">
      <c r="B16" s="422"/>
      <c r="C16" s="423" t="s">
        <v>142</v>
      </c>
      <c r="D16" s="424"/>
      <c r="E16" s="425"/>
      <c r="F16" s="425"/>
      <c r="G16" s="425"/>
      <c r="H16" s="425"/>
      <c r="I16" s="407"/>
      <c r="J16" s="389"/>
      <c r="K16" s="678" t="s">
        <v>111</v>
      </c>
      <c r="L16" s="679"/>
      <c r="M16" s="387">
        <f>SUM(M13,M14,-N14,M15,-N15)</f>
        <v>203295.52999999994</v>
      </c>
      <c r="N16" s="385"/>
      <c r="O16" s="387">
        <f>SUM(O13,O14,-P14,O15,-P15)</f>
        <v>117643.07000000004</v>
      </c>
      <c r="P16" s="385"/>
      <c r="Q16" s="387">
        <f>SUM(Q13,Q14,-R14,Q15,-R15)</f>
        <v>32977.860000000015</v>
      </c>
      <c r="R16" s="385"/>
      <c r="S16" s="387">
        <f>SUM(S13,S14,-T14,S15,-T15)</f>
        <v>4367.2200000000012</v>
      </c>
      <c r="T16" s="385"/>
    </row>
    <row r="17" spans="2:21" ht="21" customHeight="1" x14ac:dyDescent="0.3">
      <c r="B17" s="422"/>
      <c r="C17" s="423"/>
      <c r="D17" s="424"/>
      <c r="E17" s="425"/>
      <c r="F17" s="425"/>
      <c r="G17" s="425"/>
      <c r="H17" s="425"/>
      <c r="I17" s="407"/>
      <c r="J17" s="389"/>
      <c r="K17" s="680" t="s">
        <v>4</v>
      </c>
      <c r="L17" s="681"/>
      <c r="M17" s="426">
        <f>SUM(M16:T16)</f>
        <v>358283.67999999993</v>
      </c>
      <c r="N17" s="427"/>
      <c r="O17" s="406"/>
      <c r="P17" s="428"/>
      <c r="Q17" s="406"/>
      <c r="R17" s="428"/>
      <c r="S17" s="406"/>
      <c r="T17" s="428"/>
    </row>
    <row r="18" spans="2:21" ht="21" customHeight="1" x14ac:dyDescent="0.3">
      <c r="B18" s="422"/>
      <c r="C18" s="386">
        <v>2014</v>
      </c>
      <c r="D18" s="385"/>
      <c r="E18" s="387"/>
      <c r="F18" s="387"/>
      <c r="G18" s="657" t="s">
        <v>143</v>
      </c>
      <c r="H18" s="658"/>
      <c r="I18" s="659"/>
      <c r="J18" s="387"/>
      <c r="K18" s="429">
        <f>SUM(M18,O18,Q18,S18)</f>
        <v>614709.22</v>
      </c>
      <c r="L18" s="429">
        <f>SUM(L19:L25)</f>
        <v>287273.48</v>
      </c>
      <c r="M18" s="387">
        <v>153668.99</v>
      </c>
      <c r="N18" s="385">
        <f>SUM(N19:N25)</f>
        <v>71814.490000000005</v>
      </c>
      <c r="O18" s="387">
        <v>151121.92000000001</v>
      </c>
      <c r="P18" s="385">
        <f>SUM(P19:P25)</f>
        <v>70624.149999999994</v>
      </c>
      <c r="Q18" s="387">
        <v>159650.57</v>
      </c>
      <c r="R18" s="385">
        <f>SUM(R19:R25)</f>
        <v>74609.86</v>
      </c>
      <c r="S18" s="387">
        <v>150267.74</v>
      </c>
      <c r="T18" s="385">
        <f>SUM(T19:T25)</f>
        <v>70224.98000000001</v>
      </c>
      <c r="U18">
        <f>SUM(N18,P18,R18,T18)</f>
        <v>287273.48</v>
      </c>
    </row>
    <row r="19" spans="2:21" ht="21" customHeight="1" x14ac:dyDescent="0.3">
      <c r="B19" s="422"/>
      <c r="C19" s="386"/>
      <c r="D19" s="385"/>
      <c r="E19" s="387"/>
      <c r="F19" s="387"/>
      <c r="G19" s="657" t="s">
        <v>247</v>
      </c>
      <c r="H19" s="658"/>
      <c r="I19" s="659"/>
      <c r="J19" s="387"/>
      <c r="K19" s="429"/>
      <c r="L19" s="429">
        <f>SUM(N19:T19)</f>
        <v>8299.49</v>
      </c>
      <c r="M19" s="387"/>
      <c r="N19" s="385">
        <v>2074.7600000000002</v>
      </c>
      <c r="O19" s="387"/>
      <c r="P19" s="385">
        <v>2040.37</v>
      </c>
      <c r="Q19" s="387"/>
      <c r="R19" s="385">
        <v>2155.52</v>
      </c>
      <c r="S19" s="387"/>
      <c r="T19" s="385">
        <v>2028.84</v>
      </c>
    </row>
    <row r="20" spans="2:21" ht="21" customHeight="1" x14ac:dyDescent="0.3">
      <c r="B20" s="422"/>
      <c r="C20" s="386"/>
      <c r="D20" s="386"/>
      <c r="E20" s="387"/>
      <c r="F20" s="387"/>
      <c r="G20" s="657"/>
      <c r="H20" s="658"/>
      <c r="I20" s="659"/>
      <c r="J20" s="387"/>
      <c r="K20" s="430"/>
      <c r="L20" s="430">
        <v>72010.3</v>
      </c>
      <c r="M20" s="387"/>
      <c r="N20" s="385">
        <v>18001.599999999999</v>
      </c>
      <c r="O20" s="387"/>
      <c r="P20" s="385">
        <v>17703.22</v>
      </c>
      <c r="Q20" s="387"/>
      <c r="R20" s="385">
        <v>18702.310000000001</v>
      </c>
      <c r="S20" s="387"/>
      <c r="T20" s="385">
        <v>17603.16</v>
      </c>
    </row>
    <row r="21" spans="2:21" ht="21" customHeight="1" x14ac:dyDescent="0.3">
      <c r="B21" s="422"/>
      <c r="C21" s="386"/>
      <c r="D21" s="386"/>
      <c r="E21" s="387"/>
      <c r="F21" s="387"/>
      <c r="G21" s="657"/>
      <c r="H21" s="658"/>
      <c r="I21" s="659"/>
      <c r="J21" s="387"/>
      <c r="K21" s="430"/>
      <c r="L21" s="430">
        <v>52431.74</v>
      </c>
      <c r="M21" s="387"/>
      <c r="N21" s="385">
        <v>13107.23</v>
      </c>
      <c r="O21" s="387"/>
      <c r="P21" s="385">
        <v>12889.97</v>
      </c>
      <c r="Q21" s="387"/>
      <c r="R21" s="385">
        <v>13617.43</v>
      </c>
      <c r="S21" s="387"/>
      <c r="T21" s="385">
        <v>12817.12</v>
      </c>
    </row>
    <row r="22" spans="2:21" ht="21" customHeight="1" x14ac:dyDescent="0.3">
      <c r="B22" s="422"/>
      <c r="C22" s="386"/>
      <c r="D22" s="386"/>
      <c r="E22" s="387"/>
      <c r="F22" s="387"/>
      <c r="G22" s="657"/>
      <c r="H22" s="658"/>
      <c r="I22" s="659"/>
      <c r="J22" s="387"/>
      <c r="K22" s="429"/>
      <c r="L22" s="429">
        <f>SUM(N22:T22)</f>
        <v>29221.219999999998</v>
      </c>
      <c r="M22" s="387"/>
      <c r="N22" s="385">
        <v>7304.91</v>
      </c>
      <c r="O22" s="387"/>
      <c r="P22" s="385">
        <v>7183.83</v>
      </c>
      <c r="Q22" s="387"/>
      <c r="R22" s="385">
        <v>7589.25</v>
      </c>
      <c r="S22" s="387"/>
      <c r="T22" s="385">
        <v>7143.23</v>
      </c>
    </row>
    <row r="23" spans="2:21" ht="21" hidden="1" customHeight="1" x14ac:dyDescent="0.3">
      <c r="B23" s="422"/>
      <c r="C23" s="386"/>
      <c r="D23" s="386"/>
      <c r="E23" s="387"/>
      <c r="F23" s="387"/>
      <c r="G23" s="657"/>
      <c r="H23" s="658"/>
      <c r="I23" s="659"/>
      <c r="J23" s="387"/>
      <c r="K23" s="429"/>
      <c r="L23" s="429"/>
      <c r="M23" s="387"/>
      <c r="N23" s="385"/>
      <c r="O23" s="387"/>
      <c r="P23" s="385"/>
      <c r="Q23" s="387"/>
      <c r="R23" s="385"/>
      <c r="S23" s="387"/>
      <c r="T23" s="385"/>
    </row>
    <row r="24" spans="2:21" ht="21" customHeight="1" x14ac:dyDescent="0.3">
      <c r="B24" s="422"/>
      <c r="C24" s="386"/>
      <c r="D24" s="386"/>
      <c r="E24" s="387"/>
      <c r="F24" s="387"/>
      <c r="G24" s="657"/>
      <c r="H24" s="658"/>
      <c r="I24" s="659"/>
      <c r="J24" s="387"/>
      <c r="K24" s="431"/>
      <c r="L24" s="429">
        <v>6500</v>
      </c>
      <c r="M24" s="387"/>
      <c r="N24" s="385">
        <v>1624.91</v>
      </c>
      <c r="O24" s="387"/>
      <c r="P24" s="385">
        <v>1597.98</v>
      </c>
      <c r="Q24" s="387"/>
      <c r="R24" s="385">
        <v>1688.16</v>
      </c>
      <c r="S24" s="387"/>
      <c r="T24" s="385">
        <v>1588.95</v>
      </c>
    </row>
    <row r="25" spans="2:21" ht="21" customHeight="1" thickBot="1" x14ac:dyDescent="0.35">
      <c r="B25" s="422"/>
      <c r="C25" s="386" t="s">
        <v>67</v>
      </c>
      <c r="D25" s="385"/>
      <c r="E25" s="387"/>
      <c r="F25" s="387"/>
      <c r="G25" s="657"/>
      <c r="H25" s="658"/>
      <c r="I25" s="659"/>
      <c r="J25" s="387"/>
      <c r="K25" s="431"/>
      <c r="L25" s="429">
        <v>118810.73</v>
      </c>
      <c r="M25" s="387"/>
      <c r="N25" s="385">
        <v>29701.08</v>
      </c>
      <c r="O25" s="387"/>
      <c r="P25" s="385">
        <v>29208.78</v>
      </c>
      <c r="Q25" s="387"/>
      <c r="R25" s="385">
        <v>30857.19</v>
      </c>
      <c r="S25" s="387"/>
      <c r="T25" s="385">
        <v>29043.68</v>
      </c>
    </row>
    <row r="26" spans="2:21" ht="21" customHeight="1" x14ac:dyDescent="0.3">
      <c r="B26" s="422"/>
      <c r="C26" s="386"/>
      <c r="D26" s="385"/>
      <c r="E26" s="396"/>
      <c r="F26" s="396"/>
      <c r="G26" s="432"/>
      <c r="H26" s="432"/>
      <c r="I26" s="432"/>
      <c r="J26" s="433"/>
      <c r="K26" s="616">
        <f>SUM(M26:T26)</f>
        <v>685719.42</v>
      </c>
      <c r="L26" s="434"/>
      <c r="M26" s="435">
        <f>SUM(M16,M18,-N18)</f>
        <v>285150.02999999991</v>
      </c>
      <c r="N26" s="415"/>
      <c r="O26" s="435">
        <f>SUM(O16,O18,-P18)</f>
        <v>198140.84000000005</v>
      </c>
      <c r="P26" s="415"/>
      <c r="Q26" s="435">
        <f>SUM(Q16,Q18,-R18)</f>
        <v>118018.57000000002</v>
      </c>
      <c r="R26" s="415"/>
      <c r="S26" s="435">
        <f>SUM(S16,S18,-T18)</f>
        <v>84409.979999999981</v>
      </c>
      <c r="T26" s="415"/>
    </row>
    <row r="27" spans="2:21" ht="21" customHeight="1" x14ac:dyDescent="0.3">
      <c r="B27" s="422"/>
      <c r="C27" s="423"/>
      <c r="D27" s="424"/>
      <c r="E27" s="387"/>
      <c r="F27" s="387"/>
      <c r="G27" s="436" t="s">
        <v>219</v>
      </c>
      <c r="H27" s="436"/>
      <c r="I27" s="436"/>
      <c r="J27" s="387"/>
      <c r="K27" s="429">
        <f>SUM(M27,O27,Q27,S27)</f>
        <v>51225.79</v>
      </c>
      <c r="L27" s="429">
        <f>SUM(N27,P27,R27,T27)</f>
        <v>622712.44000000006</v>
      </c>
      <c r="M27" s="387">
        <v>12805.75</v>
      </c>
      <c r="N27" s="385">
        <v>155669.69</v>
      </c>
      <c r="O27" s="387">
        <v>12593.5</v>
      </c>
      <c r="P27" s="385">
        <v>153089.45000000001</v>
      </c>
      <c r="Q27" s="387">
        <v>13304.22</v>
      </c>
      <c r="R27" s="385">
        <v>152224.16</v>
      </c>
      <c r="S27" s="387">
        <v>12522.32</v>
      </c>
      <c r="T27" s="385">
        <v>161729.14000000001</v>
      </c>
    </row>
    <row r="28" spans="2:21" ht="21" customHeight="1" x14ac:dyDescent="0.3">
      <c r="B28" s="422"/>
      <c r="C28" s="423"/>
      <c r="D28" s="424"/>
      <c r="E28" s="387"/>
      <c r="F28" s="387"/>
      <c r="G28" s="436" t="s">
        <v>224</v>
      </c>
      <c r="H28" s="436"/>
      <c r="I28" s="436"/>
      <c r="J28" s="387"/>
      <c r="K28" s="429">
        <f>SUM(M28:S28)</f>
        <v>114232.76999999993</v>
      </c>
      <c r="L28" s="429"/>
      <c r="M28" s="387">
        <f>SUM(M26,M27,-N27)</f>
        <v>142286.08999999991</v>
      </c>
      <c r="N28" s="385"/>
      <c r="O28" s="387">
        <f>SUM(O26,O27,-P27)</f>
        <v>57644.890000000043</v>
      </c>
      <c r="P28" s="385"/>
      <c r="Q28" s="387">
        <f>SUM(Q26,Q27,-R27)</f>
        <v>-20901.369999999995</v>
      </c>
      <c r="R28" s="385"/>
      <c r="S28" s="387">
        <f>SUM(S26,S27,-T27)</f>
        <v>-64796.840000000026</v>
      </c>
      <c r="T28" s="385"/>
    </row>
    <row r="29" spans="2:21" ht="21" customHeight="1" thickBot="1" x14ac:dyDescent="0.35">
      <c r="B29" s="422"/>
      <c r="C29" s="423"/>
      <c r="D29" s="424"/>
      <c r="E29" s="387"/>
      <c r="F29" s="387"/>
      <c r="G29" s="436">
        <v>2016</v>
      </c>
      <c r="H29" s="436"/>
      <c r="I29" s="436"/>
      <c r="J29" s="387"/>
      <c r="K29" s="429"/>
      <c r="L29" s="431"/>
      <c r="M29" s="387">
        <v>153668.99</v>
      </c>
      <c r="N29" s="385">
        <v>50373.52</v>
      </c>
      <c r="O29" s="387">
        <v>151121.92000000001</v>
      </c>
      <c r="P29" s="385">
        <v>49538.58</v>
      </c>
      <c r="Q29" s="387">
        <v>159650.57</v>
      </c>
      <c r="R29" s="385">
        <v>52334.32</v>
      </c>
      <c r="S29" s="387">
        <v>150267.74</v>
      </c>
      <c r="T29" s="385">
        <v>49258.58</v>
      </c>
    </row>
    <row r="30" spans="2:21" ht="21" customHeight="1" thickBot="1" x14ac:dyDescent="0.35">
      <c r="B30" s="422"/>
      <c r="C30" s="423"/>
      <c r="D30" s="424"/>
      <c r="E30" s="387"/>
      <c r="F30" s="387"/>
      <c r="G30" s="436" t="s">
        <v>244</v>
      </c>
      <c r="H30" s="436"/>
      <c r="I30" s="436"/>
      <c r="J30" s="387"/>
      <c r="K30" s="625">
        <f>SUM(K28,M30:T30)</f>
        <v>527436.99</v>
      </c>
      <c r="L30" s="624"/>
      <c r="M30" s="613">
        <f>SUM(M29,-N29)</f>
        <v>103295.47</v>
      </c>
      <c r="N30" s="387"/>
      <c r="O30" s="613">
        <f>SUM(O29,-P29)</f>
        <v>101583.34000000001</v>
      </c>
      <c r="P30" s="387"/>
      <c r="Q30" s="613">
        <f>SUM(Q29,-R29)</f>
        <v>107316.25</v>
      </c>
      <c r="R30" s="387"/>
      <c r="S30" s="613">
        <f>SUM(S29,-T29)</f>
        <v>101009.15999999999</v>
      </c>
      <c r="T30" s="387"/>
    </row>
    <row r="31" spans="2:21" ht="21" customHeight="1" x14ac:dyDescent="0.3">
      <c r="B31" s="422"/>
      <c r="C31" s="423"/>
      <c r="D31" s="424"/>
      <c r="E31" s="387"/>
      <c r="F31" s="387"/>
      <c r="G31" s="436"/>
      <c r="H31" s="436"/>
      <c r="I31" s="436"/>
      <c r="J31" s="387"/>
      <c r="K31" s="429"/>
      <c r="L31" s="614"/>
      <c r="M31" s="387"/>
      <c r="N31" s="385"/>
      <c r="O31" s="387"/>
      <c r="P31" s="385"/>
      <c r="Q31" s="387"/>
      <c r="R31" s="385"/>
      <c r="S31" s="387"/>
      <c r="T31" s="385"/>
    </row>
    <row r="32" spans="2:21" ht="21" customHeight="1" thickBot="1" x14ac:dyDescent="0.35">
      <c r="B32" s="422"/>
      <c r="C32" s="423"/>
      <c r="D32" s="424"/>
      <c r="E32" s="387"/>
      <c r="F32" s="387"/>
      <c r="G32" s="436"/>
      <c r="H32" s="436"/>
      <c r="I32" s="436"/>
      <c r="J32" s="387"/>
      <c r="K32" s="429"/>
      <c r="L32" s="429"/>
      <c r="M32" s="387"/>
      <c r="N32" s="385"/>
      <c r="O32" s="387"/>
      <c r="P32" s="385"/>
      <c r="Q32" s="387"/>
      <c r="R32" s="385"/>
      <c r="S32" s="387"/>
      <c r="T32" s="385"/>
    </row>
    <row r="33" spans="2:21" ht="44.4" customHeight="1" x14ac:dyDescent="0.3">
      <c r="B33" s="52" t="s">
        <v>31</v>
      </c>
      <c r="C33" s="53" t="s">
        <v>277</v>
      </c>
      <c r="D33" s="53"/>
      <c r="E33" s="437"/>
      <c r="F33" s="437"/>
      <c r="G33" s="437" t="s">
        <v>38</v>
      </c>
      <c r="H33" s="437" t="s">
        <v>116</v>
      </c>
      <c r="I33" s="438" t="s">
        <v>40</v>
      </c>
      <c r="J33" s="437"/>
      <c r="K33" s="439"/>
      <c r="L33" s="439"/>
      <c r="M33" s="440"/>
      <c r="N33" s="441"/>
      <c r="O33" s="442"/>
      <c r="P33" s="441"/>
      <c r="Q33" s="442"/>
      <c r="R33" s="441"/>
      <c r="S33" s="442"/>
      <c r="T33" s="441"/>
      <c r="U33" s="10">
        <f>SUM(M17,K18,-L18)</f>
        <v>685719.41999999993</v>
      </c>
    </row>
    <row r="34" spans="2:21" ht="17.399999999999999" x14ac:dyDescent="0.3">
      <c r="B34" s="443"/>
      <c r="C34" s="444">
        <v>2013</v>
      </c>
      <c r="D34" s="443"/>
      <c r="E34" s="445"/>
      <c r="F34" s="445"/>
      <c r="G34" s="660">
        <v>770329.1</v>
      </c>
      <c r="H34" s="660">
        <v>449130.98</v>
      </c>
      <c r="I34" s="660">
        <f>SUM(H34,-G34)</f>
        <v>-321198.12</v>
      </c>
      <c r="J34" s="445"/>
      <c r="K34" s="446"/>
      <c r="L34" s="446"/>
      <c r="M34" s="446"/>
      <c r="N34" s="446"/>
      <c r="O34" s="446"/>
      <c r="P34" s="446"/>
      <c r="Q34" s="446"/>
      <c r="R34" s="446"/>
      <c r="S34" s="446"/>
      <c r="T34" s="446"/>
    </row>
    <row r="35" spans="2:21" ht="17.399999999999999" x14ac:dyDescent="0.3">
      <c r="B35" s="443"/>
      <c r="C35" s="444"/>
      <c r="D35" s="443"/>
      <c r="E35" s="445"/>
      <c r="F35" s="445"/>
      <c r="G35" s="660"/>
      <c r="H35" s="660"/>
      <c r="I35" s="660"/>
      <c r="J35" s="445"/>
      <c r="K35" s="446"/>
      <c r="L35" s="446"/>
      <c r="M35" s="446"/>
      <c r="N35" s="446"/>
      <c r="O35" s="446"/>
      <c r="P35" s="446"/>
      <c r="Q35" s="446"/>
      <c r="R35" s="446"/>
      <c r="S35" s="446"/>
      <c r="T35" s="446"/>
    </row>
    <row r="36" spans="2:21" ht="17.399999999999999" x14ac:dyDescent="0.3">
      <c r="B36" s="443"/>
      <c r="C36" s="447">
        <v>2014</v>
      </c>
      <c r="D36" s="448"/>
      <c r="E36" s="449"/>
      <c r="F36" s="449"/>
      <c r="G36" s="445">
        <v>741864.3</v>
      </c>
      <c r="H36" s="445">
        <v>738892.89</v>
      </c>
      <c r="I36" s="445">
        <f>SUM(I34,-H36,G36)</f>
        <v>-318226.70999999996</v>
      </c>
      <c r="J36" s="445"/>
      <c r="K36" s="446"/>
      <c r="L36" s="446"/>
      <c r="M36" s="446"/>
      <c r="N36" s="446"/>
      <c r="O36" s="446"/>
      <c r="P36" s="446"/>
      <c r="Q36" s="446"/>
      <c r="R36" s="446"/>
      <c r="S36" s="446"/>
      <c r="T36" s="446"/>
    </row>
    <row r="37" spans="2:21" ht="18" thickBot="1" x14ac:dyDescent="0.35">
      <c r="B37" s="443"/>
      <c r="C37" s="444">
        <v>2015</v>
      </c>
      <c r="D37" s="443"/>
      <c r="E37" s="445"/>
      <c r="F37" s="445"/>
      <c r="G37" s="450">
        <v>743105.3</v>
      </c>
      <c r="H37" s="450">
        <v>433478.09</v>
      </c>
      <c r="I37" s="619">
        <f>SUM(H37,-G37)</f>
        <v>-309627.21000000002</v>
      </c>
      <c r="J37" s="445"/>
      <c r="K37" s="446"/>
      <c r="L37" s="446"/>
      <c r="M37" s="446"/>
      <c r="N37" s="446"/>
      <c r="O37" s="446"/>
      <c r="P37" s="446"/>
      <c r="Q37" s="446"/>
      <c r="R37" s="446"/>
      <c r="S37" s="446"/>
      <c r="T37" s="446"/>
    </row>
    <row r="38" spans="2:21" ht="27.75" customHeight="1" thickBot="1" x14ac:dyDescent="0.35">
      <c r="B38" s="446"/>
      <c r="C38" s="446" t="s">
        <v>285</v>
      </c>
      <c r="D38" s="446"/>
      <c r="E38" s="446"/>
      <c r="F38" s="446"/>
      <c r="G38" s="446">
        <v>743105</v>
      </c>
      <c r="H38" s="617">
        <v>247701</v>
      </c>
      <c r="I38" s="621">
        <f>SUM(H38,-G38)</f>
        <v>-495404</v>
      </c>
      <c r="J38" s="618"/>
      <c r="K38" s="446"/>
      <c r="L38" s="446"/>
      <c r="M38" s="446"/>
      <c r="N38" s="446"/>
      <c r="O38" s="446"/>
      <c r="P38" s="446"/>
      <c r="Q38" s="446"/>
      <c r="R38" s="446"/>
      <c r="S38" s="446"/>
      <c r="T38" s="446"/>
    </row>
    <row r="39" spans="2:21" ht="26.25" customHeight="1" thickBot="1" x14ac:dyDescent="0.35">
      <c r="B39" s="448"/>
      <c r="C39" s="447"/>
      <c r="D39" s="448"/>
      <c r="E39" s="449"/>
      <c r="F39" s="449"/>
      <c r="G39" s="445"/>
      <c r="H39" s="445"/>
      <c r="I39" s="620"/>
      <c r="J39" s="445"/>
      <c r="K39" s="451"/>
      <c r="L39" s="451"/>
      <c r="M39" s="451"/>
      <c r="N39" s="451"/>
      <c r="O39" s="451"/>
      <c r="P39" s="451"/>
      <c r="Q39" s="451"/>
      <c r="R39" s="451"/>
      <c r="S39" s="451"/>
      <c r="T39" s="451"/>
    </row>
    <row r="40" spans="2:21" ht="26.25" hidden="1" customHeight="1" thickBot="1" x14ac:dyDescent="0.35">
      <c r="B40" s="452"/>
      <c r="C40" s="453"/>
      <c r="D40" s="454"/>
      <c r="E40" s="455"/>
      <c r="F40" s="455"/>
      <c r="G40" s="456"/>
      <c r="H40" s="456"/>
      <c r="I40" s="457"/>
      <c r="J40" s="458"/>
      <c r="K40" s="459"/>
      <c r="L40" s="459"/>
      <c r="M40" s="459"/>
      <c r="N40" s="459"/>
      <c r="O40" s="459"/>
      <c r="P40" s="459"/>
      <c r="Q40" s="459"/>
      <c r="R40" s="459"/>
      <c r="S40" s="459"/>
      <c r="T40" s="459"/>
    </row>
    <row r="41" spans="2:21" ht="26.25" hidden="1" customHeight="1" thickBot="1" x14ac:dyDescent="0.35">
      <c r="B41" s="460"/>
      <c r="C41" s="461"/>
      <c r="D41" s="462"/>
      <c r="E41" s="463"/>
      <c r="F41" s="463"/>
      <c r="G41" s="464"/>
      <c r="H41" s="464"/>
      <c r="I41" s="465"/>
      <c r="J41" s="458"/>
      <c r="K41" s="446"/>
      <c r="L41" s="446"/>
      <c r="M41" s="446"/>
      <c r="N41" s="446"/>
      <c r="O41" s="446"/>
      <c r="P41" s="446"/>
      <c r="Q41" s="446"/>
      <c r="R41" s="446"/>
      <c r="S41" s="446"/>
      <c r="T41" s="446"/>
    </row>
    <row r="42" spans="2:21" ht="26.25" hidden="1" customHeight="1" thickBot="1" x14ac:dyDescent="0.35">
      <c r="B42" s="460"/>
      <c r="C42" s="461"/>
      <c r="D42" s="462"/>
      <c r="E42" s="463"/>
      <c r="F42" s="463"/>
      <c r="G42" s="464"/>
      <c r="H42" s="464"/>
      <c r="I42" s="465"/>
      <c r="J42" s="458"/>
      <c r="K42" s="446"/>
      <c r="L42" s="446"/>
      <c r="M42" s="446"/>
      <c r="N42" s="446"/>
      <c r="O42" s="446"/>
      <c r="P42" s="446"/>
      <c r="Q42" s="446"/>
      <c r="R42" s="446"/>
      <c r="S42" s="446"/>
      <c r="T42" s="446"/>
    </row>
    <row r="43" spans="2:21" ht="31.5" customHeight="1" thickBot="1" x14ac:dyDescent="0.35">
      <c r="B43" s="43" t="s">
        <v>33</v>
      </c>
      <c r="C43" s="466" t="s">
        <v>56</v>
      </c>
      <c r="D43" s="466"/>
      <c r="E43" s="467"/>
      <c r="F43" s="467"/>
      <c r="G43" s="466" t="s">
        <v>45</v>
      </c>
      <c r="H43" s="467" t="s">
        <v>46</v>
      </c>
      <c r="I43" s="468" t="s">
        <v>40</v>
      </c>
      <c r="J43" s="469"/>
      <c r="K43" s="654" t="s">
        <v>99</v>
      </c>
      <c r="L43" s="655"/>
      <c r="M43" s="655"/>
      <c r="N43" s="655"/>
      <c r="O43" s="655"/>
      <c r="P43" s="655"/>
      <c r="Q43" s="655"/>
      <c r="R43" s="655"/>
      <c r="S43" s="655"/>
      <c r="T43" s="656"/>
    </row>
    <row r="44" spans="2:21" ht="20.25" customHeight="1" x14ac:dyDescent="0.3">
      <c r="B44" s="470"/>
      <c r="C44" s="471" t="s">
        <v>44</v>
      </c>
      <c r="D44" s="472"/>
      <c r="E44" s="473"/>
      <c r="F44" s="473"/>
      <c r="G44" s="473">
        <v>197321.22</v>
      </c>
      <c r="H44" s="473"/>
      <c r="I44" s="473">
        <f>SUM(G44,-H44)</f>
        <v>197321.22</v>
      </c>
      <c r="J44" s="473" t="s">
        <v>44</v>
      </c>
      <c r="K44" s="474">
        <f>SUM(L44:T44)</f>
        <v>197321.22</v>
      </c>
      <c r="L44" s="474"/>
      <c r="M44" s="474">
        <v>197321.22</v>
      </c>
      <c r="N44" s="474"/>
      <c r="O44" s="474"/>
      <c r="P44" s="474"/>
      <c r="Q44" s="474"/>
      <c r="R44" s="474"/>
      <c r="S44" s="474"/>
      <c r="T44" s="475"/>
    </row>
    <row r="45" spans="2:21" ht="18.75" customHeight="1" x14ac:dyDescent="0.3">
      <c r="B45" s="476"/>
      <c r="C45" s="477" t="s">
        <v>11</v>
      </c>
      <c r="D45" s="478"/>
      <c r="E45" s="479"/>
      <c r="F45" s="479"/>
      <c r="G45" s="479">
        <v>416452.25</v>
      </c>
      <c r="H45" s="479">
        <v>1310686.27</v>
      </c>
      <c r="I45" s="479">
        <f>SUM(G45,-H45)</f>
        <v>-894234.02</v>
      </c>
      <c r="J45" s="479" t="s">
        <v>11</v>
      </c>
      <c r="K45" s="480">
        <f>SUM(M45:T45)</f>
        <v>416452.25</v>
      </c>
      <c r="L45" s="480">
        <v>-1310686.27</v>
      </c>
      <c r="M45" s="480">
        <v>34740.239999999998</v>
      </c>
      <c r="N45" s="480"/>
      <c r="O45" s="480">
        <v>217343.1</v>
      </c>
      <c r="P45" s="480"/>
      <c r="Q45" s="480">
        <v>164368.91</v>
      </c>
      <c r="R45" s="480"/>
      <c r="S45" s="480"/>
      <c r="T45" s="481">
        <v>0</v>
      </c>
    </row>
    <row r="46" spans="2:21" ht="21.75" customHeight="1" thickBot="1" x14ac:dyDescent="0.35">
      <c r="B46" s="482"/>
      <c r="C46" s="482" t="s">
        <v>106</v>
      </c>
      <c r="D46" s="483"/>
      <c r="E46" s="484"/>
      <c r="F46" s="484"/>
      <c r="G46" s="484"/>
      <c r="H46" s="484"/>
      <c r="I46" s="484">
        <f>SUM(I44:I45)</f>
        <v>-696912.8</v>
      </c>
      <c r="J46" s="479"/>
      <c r="K46" s="485">
        <f>SUM(K44,K45,L45)</f>
        <v>-696912.8</v>
      </c>
      <c r="L46" s="480"/>
      <c r="M46" s="480"/>
      <c r="N46" s="480"/>
      <c r="O46" s="480"/>
      <c r="P46" s="480"/>
      <c r="Q46" s="480"/>
      <c r="R46" s="480"/>
      <c r="S46" s="480"/>
      <c r="T46" s="481"/>
    </row>
    <row r="47" spans="2:21" ht="35.25" hidden="1" customHeight="1" thickBot="1" x14ac:dyDescent="0.35">
      <c r="B47" s="486"/>
      <c r="C47" s="487" t="s">
        <v>52</v>
      </c>
      <c r="D47" s="488"/>
      <c r="E47" s="489"/>
      <c r="F47" s="489"/>
      <c r="G47" s="474">
        <v>465951.48</v>
      </c>
      <c r="H47" s="473"/>
      <c r="I47" s="490"/>
      <c r="J47" s="479" t="s">
        <v>52</v>
      </c>
      <c r="K47" s="491">
        <f>SUM(M47:S47)</f>
        <v>465951.48</v>
      </c>
      <c r="L47" s="492"/>
      <c r="M47" s="493">
        <v>49058.51</v>
      </c>
      <c r="N47" s="494"/>
      <c r="O47" s="493">
        <v>76661.58</v>
      </c>
      <c r="P47" s="494"/>
      <c r="Q47" s="493">
        <v>90784.04</v>
      </c>
      <c r="R47" s="494"/>
      <c r="S47" s="493">
        <v>249447.35</v>
      </c>
      <c r="T47" s="494"/>
    </row>
    <row r="48" spans="2:21" ht="35.25" hidden="1" customHeight="1" thickBot="1" x14ac:dyDescent="0.35">
      <c r="B48" s="495"/>
      <c r="C48" s="496" t="s">
        <v>85</v>
      </c>
      <c r="D48" s="497"/>
      <c r="E48" s="498"/>
      <c r="F48" s="498"/>
      <c r="G48" s="479"/>
      <c r="H48" s="479">
        <v>108923</v>
      </c>
      <c r="I48" s="499"/>
      <c r="J48" s="479"/>
      <c r="K48" s="500"/>
      <c r="L48" s="501">
        <v>108923</v>
      </c>
      <c r="M48" s="502"/>
      <c r="N48" s="503">
        <f t="shared" ref="N48" si="0">PRODUCT(L48/42,12,3/39094.49,12935.1)</f>
        <v>30890.64974848667</v>
      </c>
      <c r="O48" s="503"/>
      <c r="P48" s="503">
        <f t="shared" ref="P48" si="1">PRODUCT(L48/42,12,3/39094.49,12720.7)</f>
        <v>30378.635515425038</v>
      </c>
      <c r="Q48" s="503"/>
      <c r="R48" s="503">
        <f t="shared" ref="R48" si="2">PRODUCT(L48/42,12,3/39094.49,13438.69)</f>
        <v>32093.286164659748</v>
      </c>
      <c r="S48" s="503"/>
      <c r="T48" s="504">
        <f>PRODUCT(L48/42,6)</f>
        <v>15560.428571428572</v>
      </c>
      <c r="U48" s="30"/>
    </row>
    <row r="49" spans="2:21" ht="22.5" hidden="1" customHeight="1" thickBot="1" x14ac:dyDescent="0.35">
      <c r="B49" s="495"/>
      <c r="C49" s="477" t="s">
        <v>81</v>
      </c>
      <c r="D49" s="478"/>
      <c r="E49" s="479"/>
      <c r="F49" s="479"/>
      <c r="G49" s="479"/>
      <c r="H49" s="479">
        <v>22670</v>
      </c>
      <c r="I49" s="499"/>
      <c r="J49" s="479"/>
      <c r="K49" s="505"/>
      <c r="L49" s="506"/>
      <c r="M49" s="486"/>
      <c r="N49" s="507"/>
      <c r="O49" s="486"/>
      <c r="P49" s="507"/>
      <c r="Q49" s="486"/>
      <c r="R49" s="507"/>
      <c r="S49" s="508"/>
      <c r="T49" s="507">
        <v>22670</v>
      </c>
      <c r="U49" s="29"/>
    </row>
    <row r="50" spans="2:21" ht="23.25" hidden="1" customHeight="1" x14ac:dyDescent="0.3">
      <c r="B50" s="495"/>
      <c r="C50" s="477" t="s">
        <v>83</v>
      </c>
      <c r="D50" s="478"/>
      <c r="E50" s="479"/>
      <c r="F50" s="479"/>
      <c r="G50" s="479"/>
      <c r="H50" s="479">
        <v>10520</v>
      </c>
      <c r="I50" s="499"/>
      <c r="J50" s="479"/>
      <c r="K50" s="509"/>
      <c r="L50" s="481"/>
      <c r="M50" s="510"/>
      <c r="N50" s="481"/>
      <c r="O50" s="510"/>
      <c r="P50" s="481"/>
      <c r="Q50" s="510"/>
      <c r="R50" s="481">
        <v>5260</v>
      </c>
      <c r="S50" s="510"/>
      <c r="T50" s="481">
        <v>5260</v>
      </c>
      <c r="U50" s="29"/>
    </row>
    <row r="51" spans="2:21" ht="22.5" hidden="1" customHeight="1" thickBot="1" x14ac:dyDescent="0.35">
      <c r="B51" s="495"/>
      <c r="C51" s="477" t="s">
        <v>82</v>
      </c>
      <c r="D51" s="478"/>
      <c r="E51" s="479"/>
      <c r="F51" s="479"/>
      <c r="G51" s="479"/>
      <c r="H51" s="479">
        <v>10000</v>
      </c>
      <c r="I51" s="499"/>
      <c r="J51" s="479"/>
      <c r="K51" s="505"/>
      <c r="L51" s="506">
        <v>10000</v>
      </c>
      <c r="M51" s="511"/>
      <c r="N51" s="512">
        <f t="shared" ref="N51:N55" si="3">PRODUCT(L51/42,12,3/39094.49,12935.1)</f>
        <v>2836.0079825644416</v>
      </c>
      <c r="O51" s="512"/>
      <c r="P51" s="512">
        <f t="shared" ref="P51:P55" si="4">PRODUCT(L51/42,12,3/39094.49,12720.7)</f>
        <v>2789.0009929422654</v>
      </c>
      <c r="Q51" s="512"/>
      <c r="R51" s="512">
        <f t="shared" ref="R51:R55" si="5">PRODUCT(L51/42,12,3/39094.49,13438.69)</f>
        <v>2946.4195959218669</v>
      </c>
      <c r="S51" s="512"/>
      <c r="T51" s="513">
        <f>PRODUCT(L51/42,6)</f>
        <v>1428.5714285714287</v>
      </c>
      <c r="U51" s="30"/>
    </row>
    <row r="52" spans="2:21" ht="33" hidden="1" customHeight="1" thickBot="1" x14ac:dyDescent="0.35">
      <c r="B52" s="495"/>
      <c r="C52" s="514" t="s">
        <v>89</v>
      </c>
      <c r="D52" s="478"/>
      <c r="E52" s="479"/>
      <c r="F52" s="479"/>
      <c r="G52" s="479"/>
      <c r="H52" s="479">
        <v>40690</v>
      </c>
      <c r="I52" s="515">
        <v>0</v>
      </c>
      <c r="J52" s="516"/>
      <c r="K52" s="505"/>
      <c r="L52" s="506">
        <v>40690</v>
      </c>
      <c r="M52" s="511"/>
      <c r="N52" s="512">
        <f t="shared" si="3"/>
        <v>11539.716481054713</v>
      </c>
      <c r="O52" s="512"/>
      <c r="P52" s="512">
        <f t="shared" si="4"/>
        <v>11348.445040282077</v>
      </c>
      <c r="Q52" s="512"/>
      <c r="R52" s="512">
        <f t="shared" si="5"/>
        <v>11988.981335806075</v>
      </c>
      <c r="S52" s="512"/>
      <c r="T52" s="513">
        <f>PRODUCT(L52/42,6)</f>
        <v>5812.8571428571431</v>
      </c>
      <c r="U52" s="30"/>
    </row>
    <row r="53" spans="2:21" ht="30.75" hidden="1" customHeight="1" thickBot="1" x14ac:dyDescent="0.35">
      <c r="B53" s="495"/>
      <c r="C53" s="496" t="s">
        <v>94</v>
      </c>
      <c r="D53" s="478"/>
      <c r="E53" s="479"/>
      <c r="F53" s="479"/>
      <c r="G53" s="479"/>
      <c r="H53" s="479">
        <v>75000</v>
      </c>
      <c r="I53" s="499"/>
      <c r="J53" s="479"/>
      <c r="K53" s="505"/>
      <c r="L53" s="506">
        <v>75000</v>
      </c>
      <c r="M53" s="511"/>
      <c r="N53" s="512">
        <f t="shared" si="3"/>
        <v>21270.059869233308</v>
      </c>
      <c r="O53" s="512"/>
      <c r="P53" s="512">
        <f t="shared" si="4"/>
        <v>20917.507447066986</v>
      </c>
      <c r="Q53" s="512"/>
      <c r="R53" s="512">
        <f t="shared" si="5"/>
        <v>22098.146969413996</v>
      </c>
      <c r="S53" s="512"/>
      <c r="T53" s="513">
        <f>PRODUCT(L53/42,6)</f>
        <v>10714.285714285714</v>
      </c>
      <c r="U53" s="30"/>
    </row>
    <row r="54" spans="2:21" ht="24" hidden="1" customHeight="1" thickBot="1" x14ac:dyDescent="0.35">
      <c r="B54" s="495"/>
      <c r="C54" s="514" t="s">
        <v>90</v>
      </c>
      <c r="D54" s="478"/>
      <c r="E54" s="479"/>
      <c r="F54" s="479"/>
      <c r="G54" s="479"/>
      <c r="H54" s="517">
        <v>45800</v>
      </c>
      <c r="I54" s="499"/>
      <c r="J54" s="479"/>
      <c r="K54" s="505"/>
      <c r="L54" s="506">
        <v>45800</v>
      </c>
      <c r="M54" s="511"/>
      <c r="N54" s="512">
        <f t="shared" si="3"/>
        <v>12988.91656014514</v>
      </c>
      <c r="O54" s="512"/>
      <c r="P54" s="512">
        <f t="shared" si="4"/>
        <v>12773.624547675572</v>
      </c>
      <c r="Q54" s="512"/>
      <c r="R54" s="512">
        <f t="shared" si="5"/>
        <v>13494.601749322146</v>
      </c>
      <c r="S54" s="512"/>
      <c r="T54" s="513">
        <f>PRODUCT(L54/42,6)</f>
        <v>6542.8571428571422</v>
      </c>
      <c r="U54" s="30"/>
    </row>
    <row r="55" spans="2:21" ht="25.5" hidden="1" customHeight="1" thickBot="1" x14ac:dyDescent="0.35">
      <c r="B55" s="518"/>
      <c r="C55" s="519" t="s">
        <v>93</v>
      </c>
      <c r="D55" s="520"/>
      <c r="E55" s="521"/>
      <c r="F55" s="521"/>
      <c r="G55" s="521"/>
      <c r="H55" s="521">
        <v>12500</v>
      </c>
      <c r="I55" s="522"/>
      <c r="J55" s="498"/>
      <c r="K55" s="505"/>
      <c r="L55" s="506">
        <v>12500</v>
      </c>
      <c r="M55" s="511"/>
      <c r="N55" s="512">
        <f t="shared" si="3"/>
        <v>3545.0099782055513</v>
      </c>
      <c r="O55" s="512"/>
      <c r="P55" s="512">
        <f t="shared" si="4"/>
        <v>3486.2512411778307</v>
      </c>
      <c r="Q55" s="512"/>
      <c r="R55" s="512">
        <f t="shared" si="5"/>
        <v>3683.0244949023322</v>
      </c>
      <c r="S55" s="512"/>
      <c r="T55" s="513">
        <f>PRODUCT(L55/42,6)</f>
        <v>1785.7142857142856</v>
      </c>
      <c r="U55" s="30"/>
    </row>
    <row r="56" spans="2:21" ht="23.25" customHeight="1" thickBot="1" x14ac:dyDescent="0.35">
      <c r="B56" s="523"/>
      <c r="C56" s="524" t="s">
        <v>84</v>
      </c>
      <c r="D56" s="525"/>
      <c r="E56" s="526"/>
      <c r="F56" s="526"/>
      <c r="G56" s="526">
        <f>SUM(G47:G55)</f>
        <v>465951.48</v>
      </c>
      <c r="H56" s="526">
        <f>SUM(H47:H55)</f>
        <v>326103</v>
      </c>
      <c r="I56" s="527">
        <f>SUM(G56,-H56)</f>
        <v>139848.47999999998</v>
      </c>
      <c r="J56" s="504" t="s">
        <v>107</v>
      </c>
      <c r="K56" s="528">
        <f>SUM(K47:K55)</f>
        <v>465951.48</v>
      </c>
      <c r="L56" s="529">
        <f>SUM(L48:L55)</f>
        <v>292913</v>
      </c>
      <c r="M56" s="530">
        <f>SUM(M47:M55)</f>
        <v>49058.51</v>
      </c>
      <c r="N56" s="529">
        <f>SUM(N48:N55)</f>
        <v>83070.360619689818</v>
      </c>
      <c r="O56" s="531">
        <f>SUM(O47:O55)</f>
        <v>76661.58</v>
      </c>
      <c r="P56" s="529">
        <f>SUM(P48:P55)</f>
        <v>81693.464784569762</v>
      </c>
      <c r="Q56" s="531">
        <f>SUM(Q47:Q55)</f>
        <v>90784.04</v>
      </c>
      <c r="R56" s="529">
        <f>SUM(R48:R55)</f>
        <v>91564.460310026159</v>
      </c>
      <c r="S56" s="531">
        <f>SUM(S47:S55)</f>
        <v>249447.35</v>
      </c>
      <c r="T56" s="529">
        <f>SUM(T48:T55)</f>
        <v>69774.71428571429</v>
      </c>
    </row>
    <row r="57" spans="2:21" ht="23.25" customHeight="1" thickBot="1" x14ac:dyDescent="0.35">
      <c r="B57" s="523"/>
      <c r="C57" s="524" t="s">
        <v>112</v>
      </c>
      <c r="D57" s="525"/>
      <c r="E57" s="526"/>
      <c r="F57" s="526"/>
      <c r="G57" s="526">
        <v>213493.55</v>
      </c>
      <c r="H57" s="526"/>
      <c r="I57" s="527">
        <f>SUM(G57,-H57)</f>
        <v>213493.55</v>
      </c>
      <c r="J57" s="504"/>
      <c r="K57" s="528"/>
      <c r="L57" s="529"/>
      <c r="M57" s="530">
        <v>35594.74</v>
      </c>
      <c r="N57" s="529"/>
      <c r="O57" s="531">
        <v>52861.78</v>
      </c>
      <c r="P57" s="529"/>
      <c r="Q57" s="531">
        <v>71834.17</v>
      </c>
      <c r="R57" s="529"/>
      <c r="S57" s="531">
        <v>53202.86</v>
      </c>
      <c r="T57" s="529"/>
    </row>
    <row r="58" spans="2:21" ht="29.25" customHeight="1" thickBot="1" x14ac:dyDescent="0.35">
      <c r="B58" s="532"/>
      <c r="C58" s="533" t="s">
        <v>209</v>
      </c>
      <c r="D58" s="534"/>
      <c r="E58" s="535"/>
      <c r="F58" s="535"/>
      <c r="G58" s="536">
        <f>SUM(G44:G55)</f>
        <v>1079724.95</v>
      </c>
      <c r="H58" s="536">
        <f>SUM(H45:H55)</f>
        <v>1636789.27</v>
      </c>
      <c r="I58" s="615">
        <f>SUM(I46,I56,I57)</f>
        <v>-343570.77000000008</v>
      </c>
      <c r="J58" s="537" t="s">
        <v>4</v>
      </c>
      <c r="K58" s="538">
        <f>SUM(K46,M58,O58,Q58,S58)</f>
        <v>-343570.76999999996</v>
      </c>
      <c r="L58" s="539">
        <v>0</v>
      </c>
      <c r="M58" s="540">
        <f>SUM(M56,-N56,M57,-N57)</f>
        <v>1582.8893803101819</v>
      </c>
      <c r="N58" s="541"/>
      <c r="O58" s="540">
        <f>SUM(O56,-P56,O57,-P57)</f>
        <v>47829.895215430239</v>
      </c>
      <c r="P58" s="541"/>
      <c r="Q58" s="540">
        <f>SUM(Q56,-R56,Q57,-R57)</f>
        <v>71053.749689973833</v>
      </c>
      <c r="R58" s="541"/>
      <c r="S58" s="540">
        <f>SUM(S56,-T56,S57,-T57)</f>
        <v>232875.4957142857</v>
      </c>
      <c r="T58" s="541"/>
    </row>
    <row r="59" spans="2:21" ht="29.25" customHeight="1" thickBot="1" x14ac:dyDescent="0.35">
      <c r="B59" s="532"/>
      <c r="C59" s="533" t="s">
        <v>208</v>
      </c>
      <c r="D59" s="542"/>
      <c r="E59" s="543"/>
      <c r="F59" s="543"/>
      <c r="G59" s="479"/>
      <c r="H59" s="479"/>
      <c r="I59" s="479"/>
      <c r="J59" s="544"/>
      <c r="K59" s="622">
        <f>SUM(K58,M59,-N59,O59,-O59,Q59,-R59,S59,-T59)</f>
        <v>-74471.509999999951</v>
      </c>
      <c r="L59" s="545"/>
      <c r="M59" s="546">
        <v>73003.539999999994</v>
      </c>
      <c r="N59" s="546">
        <v>1624.91</v>
      </c>
      <c r="O59" s="546">
        <v>66043.490000000005</v>
      </c>
      <c r="P59" s="546">
        <v>1597.98</v>
      </c>
      <c r="Q59" s="546">
        <v>85319.47</v>
      </c>
      <c r="R59" s="546">
        <v>1688.16</v>
      </c>
      <c r="S59" s="546">
        <v>115678.27</v>
      </c>
      <c r="T59" s="546">
        <v>1588.95</v>
      </c>
    </row>
    <row r="60" spans="2:21" ht="29.25" customHeight="1" thickBot="1" x14ac:dyDescent="0.35">
      <c r="B60" s="532"/>
      <c r="C60" s="533">
        <v>2015</v>
      </c>
      <c r="D60" s="542"/>
      <c r="E60" s="543"/>
      <c r="F60" s="543"/>
      <c r="G60" s="479">
        <v>97751.49</v>
      </c>
      <c r="H60" s="479">
        <v>36400</v>
      </c>
      <c r="I60" s="479">
        <f>SUM(G60,-H60,K59)</f>
        <v>-13120.019999999946</v>
      </c>
      <c r="J60" s="544"/>
      <c r="K60" s="622">
        <f>SUM(I60)</f>
        <v>-13120.019999999946</v>
      </c>
      <c r="L60" s="547"/>
      <c r="M60" s="548"/>
      <c r="N60" s="548"/>
      <c r="O60" s="548"/>
      <c r="P60" s="548"/>
      <c r="Q60" s="548"/>
      <c r="R60" s="548"/>
      <c r="S60" s="548"/>
      <c r="T60" s="548"/>
    </row>
    <row r="61" spans="2:21" ht="29.25" customHeight="1" thickBot="1" x14ac:dyDescent="0.35">
      <c r="B61" s="532"/>
      <c r="C61" s="533">
        <v>2016</v>
      </c>
      <c r="D61" s="542"/>
      <c r="E61" s="543"/>
      <c r="F61" s="543"/>
      <c r="G61" s="479"/>
      <c r="H61" s="479"/>
      <c r="I61" s="479"/>
      <c r="J61" s="544"/>
      <c r="K61" s="622">
        <f>SUM(M61:T61)</f>
        <v>51579.259999999995</v>
      </c>
      <c r="L61" s="547"/>
      <c r="M61" s="548">
        <v>16220.02</v>
      </c>
      <c r="N61" s="548"/>
      <c r="O61" s="548">
        <v>11476.98</v>
      </c>
      <c r="P61" s="548"/>
      <c r="Q61" s="548">
        <v>23882.26</v>
      </c>
      <c r="R61" s="548"/>
      <c r="S61" s="548">
        <v>0</v>
      </c>
      <c r="T61" s="548"/>
    </row>
    <row r="62" spans="2:21" ht="29.25" customHeight="1" thickBot="1" x14ac:dyDescent="0.35">
      <c r="B62" s="532"/>
      <c r="C62" s="533" t="s">
        <v>245</v>
      </c>
      <c r="D62" s="542"/>
      <c r="E62" s="543"/>
      <c r="F62" s="543"/>
      <c r="G62" s="479"/>
      <c r="H62" s="479"/>
      <c r="I62" s="479"/>
      <c r="J62" s="544"/>
      <c r="K62" s="623">
        <f>SUM(K60:K61)</f>
        <v>38459.240000000049</v>
      </c>
      <c r="L62" s="547"/>
      <c r="M62" s="548"/>
      <c r="N62" s="548"/>
      <c r="O62" s="548"/>
      <c r="P62" s="548"/>
      <c r="Q62" s="548"/>
      <c r="R62" s="548"/>
      <c r="S62" s="548"/>
      <c r="T62" s="548"/>
    </row>
    <row r="63" spans="2:21" ht="71.25" customHeight="1" thickBot="1" x14ac:dyDescent="0.35">
      <c r="B63" s="41" t="s">
        <v>32</v>
      </c>
      <c r="C63" s="549" t="s">
        <v>59</v>
      </c>
      <c r="D63" s="550"/>
      <c r="E63" s="551"/>
      <c r="F63" s="551"/>
      <c r="G63" s="551" t="s">
        <v>51</v>
      </c>
      <c r="H63" s="551" t="s">
        <v>46</v>
      </c>
      <c r="I63" s="552" t="s">
        <v>40</v>
      </c>
      <c r="J63" s="553"/>
      <c r="K63" s="554"/>
      <c r="L63" s="554"/>
      <c r="M63" s="554"/>
      <c r="N63" s="554"/>
      <c r="O63" s="554"/>
      <c r="P63" s="554"/>
      <c r="Q63" s="554"/>
      <c r="R63" s="554"/>
      <c r="S63" s="554"/>
      <c r="T63" s="554"/>
    </row>
    <row r="64" spans="2:21" ht="17.399999999999999" x14ac:dyDescent="0.3">
      <c r="B64" s="555"/>
      <c r="C64" s="556" t="s">
        <v>48</v>
      </c>
      <c r="D64" s="555"/>
      <c r="E64" s="557"/>
      <c r="F64" s="557"/>
      <c r="G64" s="557"/>
      <c r="H64" s="557">
        <v>26400</v>
      </c>
      <c r="I64" s="557">
        <f>G64-H64</f>
        <v>-26400</v>
      </c>
      <c r="J64" s="558"/>
      <c r="K64" s="554"/>
      <c r="L64" s="554"/>
      <c r="M64" s="554"/>
      <c r="N64" s="554"/>
      <c r="O64" s="554"/>
      <c r="P64" s="554"/>
      <c r="Q64" s="554"/>
      <c r="R64" s="554"/>
      <c r="S64" s="554"/>
      <c r="T64" s="554"/>
    </row>
    <row r="65" spans="2:20" ht="17.399999999999999" x14ac:dyDescent="0.3">
      <c r="B65" s="559"/>
      <c r="C65" s="560" t="s">
        <v>49</v>
      </c>
      <c r="D65" s="559"/>
      <c r="E65" s="561"/>
      <c r="F65" s="561"/>
      <c r="G65" s="561">
        <v>817352.6</v>
      </c>
      <c r="H65" s="561">
        <f>440000+63740</f>
        <v>503740</v>
      </c>
      <c r="I65" s="557">
        <f t="shared" ref="I65:J72" si="6">G65-H65</f>
        <v>313612.59999999998</v>
      </c>
      <c r="J65" s="558"/>
      <c r="K65" s="554"/>
      <c r="L65" s="554"/>
      <c r="M65" s="554"/>
      <c r="N65" s="554"/>
      <c r="O65" s="554"/>
      <c r="P65" s="554"/>
      <c r="Q65" s="554"/>
      <c r="R65" s="554"/>
      <c r="S65" s="554"/>
      <c r="T65" s="554"/>
    </row>
    <row r="66" spans="2:20" ht="18" thickBot="1" x14ac:dyDescent="0.35">
      <c r="B66" s="562"/>
      <c r="C66" s="563" t="s">
        <v>52</v>
      </c>
      <c r="D66" s="562"/>
      <c r="E66" s="564"/>
      <c r="F66" s="564"/>
      <c r="G66" s="564">
        <v>2272203.23</v>
      </c>
      <c r="H66" s="564">
        <v>1045000</v>
      </c>
      <c r="I66" s="557">
        <f>SUM(G66,-H66)</f>
        <v>1227203.23</v>
      </c>
      <c r="J66" s="558"/>
      <c r="K66" s="554"/>
      <c r="L66" s="554"/>
      <c r="M66" s="554"/>
      <c r="N66" s="554"/>
      <c r="O66" s="554"/>
      <c r="P66" s="554"/>
      <c r="Q66" s="554"/>
      <c r="R66" s="554"/>
      <c r="S66" s="554"/>
      <c r="T66" s="554"/>
    </row>
    <row r="67" spans="2:20" ht="18" hidden="1" thickBot="1" x14ac:dyDescent="0.35">
      <c r="B67" s="562"/>
      <c r="C67" s="565" t="s">
        <v>79</v>
      </c>
      <c r="D67" s="562"/>
      <c r="E67" s="564"/>
      <c r="F67" s="564"/>
      <c r="G67" s="564"/>
      <c r="H67" s="566">
        <v>3307.46</v>
      </c>
      <c r="I67" s="557">
        <v>-3307.46</v>
      </c>
      <c r="J67" s="558"/>
      <c r="K67" s="554"/>
      <c r="L67" s="554"/>
      <c r="M67" s="554"/>
      <c r="N67" s="554"/>
      <c r="O67" s="554"/>
      <c r="P67" s="554"/>
      <c r="Q67" s="554"/>
      <c r="R67" s="554"/>
      <c r="S67" s="554"/>
      <c r="T67" s="554"/>
    </row>
    <row r="68" spans="2:20" ht="26.25" hidden="1" customHeight="1" x14ac:dyDescent="0.3">
      <c r="B68" s="562"/>
      <c r="C68" s="563" t="s">
        <v>65</v>
      </c>
      <c r="D68" s="562"/>
      <c r="E68" s="564"/>
      <c r="F68" s="564"/>
      <c r="G68" s="564"/>
      <c r="H68" s="567">
        <v>70473.100000000006</v>
      </c>
      <c r="I68" s="557">
        <v>-70473</v>
      </c>
      <c r="J68" s="558"/>
      <c r="K68" s="554"/>
      <c r="L68" s="554"/>
      <c r="M68" s="554"/>
      <c r="N68" s="554"/>
      <c r="O68" s="554"/>
      <c r="P68" s="554"/>
      <c r="Q68" s="554"/>
      <c r="R68" s="554"/>
      <c r="S68" s="554"/>
      <c r="T68" s="554"/>
    </row>
    <row r="69" spans="2:20" ht="35.4" hidden="1" thickBot="1" x14ac:dyDescent="0.35">
      <c r="B69" s="562"/>
      <c r="C69" s="563" t="s">
        <v>101</v>
      </c>
      <c r="D69" s="562"/>
      <c r="E69" s="564"/>
      <c r="F69" s="564"/>
      <c r="G69" s="564"/>
      <c r="H69" s="568">
        <v>74882</v>
      </c>
      <c r="I69" s="557">
        <f>SUM(G69,-H69)</f>
        <v>-74882</v>
      </c>
      <c r="J69" s="558"/>
      <c r="K69" s="554"/>
      <c r="L69" s="554"/>
      <c r="M69" s="554"/>
      <c r="N69" s="554"/>
      <c r="O69" s="554"/>
      <c r="P69" s="554"/>
      <c r="Q69" s="554"/>
      <c r="R69" s="554"/>
      <c r="S69" s="554"/>
      <c r="T69" s="554"/>
    </row>
    <row r="70" spans="2:20" ht="18" hidden="1" thickBot="1" x14ac:dyDescent="0.35">
      <c r="B70" s="562"/>
      <c r="C70" s="563"/>
      <c r="D70" s="562"/>
      <c r="E70" s="564"/>
      <c r="F70" s="564"/>
      <c r="G70" s="564"/>
      <c r="H70" s="568"/>
      <c r="I70" s="557"/>
      <c r="J70" s="569">
        <f t="shared" si="6"/>
        <v>0</v>
      </c>
      <c r="K70" s="554"/>
      <c r="L70" s="554"/>
      <c r="M70" s="554"/>
      <c r="N70" s="554"/>
      <c r="O70" s="554"/>
      <c r="P70" s="554"/>
      <c r="Q70" s="554"/>
      <c r="R70" s="554"/>
      <c r="S70" s="554"/>
      <c r="T70" s="554"/>
    </row>
    <row r="71" spans="2:20" ht="15.75" hidden="1" customHeight="1" x14ac:dyDescent="0.3">
      <c r="B71" s="559"/>
      <c r="C71" s="560" t="s">
        <v>91</v>
      </c>
      <c r="D71" s="559"/>
      <c r="E71" s="561"/>
      <c r="F71" s="561"/>
      <c r="G71" s="561"/>
      <c r="H71" s="561">
        <v>9000</v>
      </c>
      <c r="I71" s="561">
        <f t="shared" si="6"/>
        <v>-9000</v>
      </c>
      <c r="J71" s="558"/>
      <c r="K71" s="554"/>
      <c r="L71" s="554"/>
      <c r="M71" s="554"/>
      <c r="N71" s="554"/>
      <c r="O71" s="554"/>
      <c r="P71" s="554"/>
      <c r="Q71" s="554"/>
      <c r="R71" s="554"/>
      <c r="S71" s="554"/>
      <c r="T71" s="554"/>
    </row>
    <row r="72" spans="2:20" ht="23.25" hidden="1" customHeight="1" thickBot="1" x14ac:dyDescent="0.35">
      <c r="B72" s="562"/>
      <c r="C72" s="563" t="s">
        <v>110</v>
      </c>
      <c r="D72" s="562"/>
      <c r="E72" s="564"/>
      <c r="F72" s="564"/>
      <c r="G72" s="564">
        <v>2488155.86</v>
      </c>
      <c r="H72" s="564">
        <v>779322.04</v>
      </c>
      <c r="I72" s="564">
        <f t="shared" si="6"/>
        <v>1708833.8199999998</v>
      </c>
      <c r="J72" s="558"/>
      <c r="K72" s="554"/>
      <c r="L72" s="554"/>
      <c r="M72" s="554"/>
      <c r="N72" s="554"/>
      <c r="O72" s="554"/>
      <c r="P72" s="554"/>
      <c r="Q72" s="554"/>
      <c r="R72" s="554"/>
      <c r="S72" s="554"/>
      <c r="T72" s="554"/>
    </row>
    <row r="73" spans="2:20" ht="18" thickBot="1" x14ac:dyDescent="0.35">
      <c r="B73" s="570"/>
      <c r="C73" s="549" t="s">
        <v>110</v>
      </c>
      <c r="D73" s="571"/>
      <c r="E73" s="572"/>
      <c r="F73" s="572"/>
      <c r="G73" s="572">
        <f>SUM(G64:G72)</f>
        <v>5577711.6899999995</v>
      </c>
      <c r="H73" s="572">
        <f>SUM(H64:H72)</f>
        <v>2512124.6</v>
      </c>
      <c r="I73" s="573">
        <f>SUM(G73,-H73)</f>
        <v>3065587.0899999994</v>
      </c>
      <c r="J73" s="574"/>
      <c r="K73" s="554"/>
      <c r="L73" s="554"/>
      <c r="M73" s="554"/>
      <c r="N73" s="554"/>
      <c r="O73" s="554"/>
      <c r="P73" s="554"/>
      <c r="Q73" s="554"/>
      <c r="R73" s="554"/>
      <c r="S73" s="554"/>
      <c r="T73" s="554"/>
    </row>
    <row r="74" spans="2:20" ht="18" thickBot="1" x14ac:dyDescent="0.35">
      <c r="B74" s="570"/>
      <c r="C74" s="575">
        <v>2014</v>
      </c>
      <c r="D74" s="571"/>
      <c r="E74" s="572"/>
      <c r="F74" s="572"/>
      <c r="G74" s="576">
        <v>2282588</v>
      </c>
      <c r="H74" s="572">
        <v>1200600</v>
      </c>
      <c r="I74" s="573">
        <f>SUM(I73,G74,-H74)</f>
        <v>4147575.09</v>
      </c>
      <c r="J74" s="612">
        <v>41477575.090000004</v>
      </c>
      <c r="K74" s="554"/>
      <c r="L74" s="554"/>
      <c r="M74" s="554"/>
      <c r="N74" s="554"/>
      <c r="O74" s="554"/>
      <c r="P74" s="554"/>
      <c r="Q74" s="554"/>
      <c r="R74" s="554"/>
      <c r="S74" s="554"/>
      <c r="T74" s="554"/>
    </row>
    <row r="75" spans="2:20" ht="18" hidden="1" thickBot="1" x14ac:dyDescent="0.35">
      <c r="B75" s="651">
        <v>2015</v>
      </c>
      <c r="C75" s="575" t="s">
        <v>226</v>
      </c>
      <c r="D75" s="571"/>
      <c r="E75" s="572"/>
      <c r="F75" s="572"/>
      <c r="G75" s="576"/>
      <c r="H75" s="572">
        <v>330544.62</v>
      </c>
      <c r="I75" s="573"/>
      <c r="J75" s="579"/>
      <c r="K75" s="554"/>
      <c r="L75" s="554"/>
      <c r="M75" s="554"/>
      <c r="N75" s="554"/>
      <c r="O75" s="554"/>
      <c r="P75" s="554"/>
      <c r="Q75" s="554"/>
      <c r="R75" s="554"/>
      <c r="S75" s="554"/>
      <c r="T75" s="554"/>
    </row>
    <row r="76" spans="2:20" ht="18" hidden="1" thickBot="1" x14ac:dyDescent="0.35">
      <c r="B76" s="652"/>
      <c r="C76" s="575" t="s">
        <v>227</v>
      </c>
      <c r="D76" s="571"/>
      <c r="E76" s="572"/>
      <c r="F76" s="572"/>
      <c r="G76" s="576"/>
      <c r="H76" s="572">
        <v>156601</v>
      </c>
      <c r="I76" s="573"/>
      <c r="J76" s="579"/>
      <c r="K76" s="554"/>
      <c r="L76" s="554"/>
      <c r="M76" s="554"/>
      <c r="N76" s="554"/>
      <c r="O76" s="554"/>
      <c r="P76" s="554"/>
      <c r="Q76" s="554"/>
      <c r="R76" s="554"/>
      <c r="S76" s="554"/>
      <c r="T76" s="554"/>
    </row>
    <row r="77" spans="2:20" ht="35.4" hidden="1" thickBot="1" x14ac:dyDescent="0.35">
      <c r="B77" s="652"/>
      <c r="C77" s="575" t="s">
        <v>228</v>
      </c>
      <c r="D77" s="571"/>
      <c r="E77" s="572"/>
      <c r="F77" s="572"/>
      <c r="G77" s="576"/>
      <c r="H77" s="572">
        <v>62744.480000000003</v>
      </c>
      <c r="I77" s="573"/>
      <c r="J77" s="579"/>
      <c r="K77" s="554"/>
      <c r="L77" s="554"/>
      <c r="M77" s="554"/>
      <c r="N77" s="554"/>
      <c r="O77" s="554"/>
      <c r="P77" s="554"/>
      <c r="Q77" s="554"/>
      <c r="R77" s="554"/>
      <c r="S77" s="554"/>
      <c r="T77" s="554"/>
    </row>
    <row r="78" spans="2:20" ht="18" hidden="1" thickBot="1" x14ac:dyDescent="0.35">
      <c r="B78" s="652"/>
      <c r="C78" s="575" t="s">
        <v>229</v>
      </c>
      <c r="D78" s="571"/>
      <c r="E78" s="572"/>
      <c r="F78" s="572"/>
      <c r="G78" s="576"/>
      <c r="H78" s="572">
        <v>1150590</v>
      </c>
      <c r="I78" s="573"/>
      <c r="J78" s="579"/>
      <c r="K78" s="554"/>
      <c r="L78" s="554"/>
      <c r="M78" s="554"/>
      <c r="N78" s="554"/>
      <c r="O78" s="554"/>
      <c r="P78" s="554"/>
      <c r="Q78" s="554"/>
      <c r="R78" s="554"/>
      <c r="S78" s="554"/>
      <c r="T78" s="554"/>
    </row>
    <row r="79" spans="2:20" ht="18" hidden="1" thickBot="1" x14ac:dyDescent="0.35">
      <c r="B79" s="652"/>
      <c r="C79" s="575"/>
      <c r="D79" s="571"/>
      <c r="E79" s="572"/>
      <c r="F79" s="572"/>
      <c r="G79" s="576"/>
      <c r="H79" s="572"/>
      <c r="I79" s="573"/>
      <c r="J79" s="579"/>
      <c r="K79" s="554"/>
      <c r="L79" s="554"/>
      <c r="M79" s="554"/>
      <c r="N79" s="554"/>
      <c r="O79" s="554"/>
      <c r="P79" s="554"/>
      <c r="Q79" s="554"/>
      <c r="R79" s="554"/>
      <c r="S79" s="554"/>
      <c r="T79" s="554"/>
    </row>
    <row r="80" spans="2:20" ht="18" hidden="1" thickBot="1" x14ac:dyDescent="0.35">
      <c r="B80" s="653"/>
      <c r="C80" s="575">
        <v>2015</v>
      </c>
      <c r="D80" s="571"/>
      <c r="E80" s="572"/>
      <c r="F80" s="572"/>
      <c r="G80" s="576">
        <v>2142588.7599999998</v>
      </c>
      <c r="H80" s="572">
        <f>SUM(H75:H79)</f>
        <v>1700480.1</v>
      </c>
      <c r="I80" s="573">
        <f>SUM(I74,G80,-H80)</f>
        <v>4589683.75</v>
      </c>
      <c r="J80" s="579">
        <f>SUM(I80)</f>
        <v>4589683.75</v>
      </c>
      <c r="K80" s="554"/>
      <c r="L80" s="554"/>
      <c r="M80" s="554"/>
      <c r="N80" s="554"/>
      <c r="O80" s="554"/>
      <c r="P80" s="554"/>
      <c r="Q80" s="554"/>
      <c r="R80" s="554"/>
      <c r="S80" s="554"/>
      <c r="T80" s="554"/>
    </row>
    <row r="81" spans="2:20" ht="18" hidden="1" thickBot="1" x14ac:dyDescent="0.35">
      <c r="B81" s="578">
        <v>2016</v>
      </c>
      <c r="C81" s="575">
        <v>2016</v>
      </c>
      <c r="D81" s="571"/>
      <c r="E81" s="572"/>
      <c r="F81" s="572"/>
      <c r="G81" s="576">
        <v>2186100</v>
      </c>
      <c r="H81" s="572"/>
      <c r="I81" s="573"/>
      <c r="J81" s="579"/>
      <c r="K81" s="554"/>
      <c r="L81" s="554"/>
      <c r="M81" s="554"/>
      <c r="N81" s="554"/>
      <c r="O81" s="554"/>
      <c r="P81" s="554"/>
      <c r="Q81" s="554"/>
      <c r="R81" s="554"/>
      <c r="S81" s="554"/>
      <c r="T81" s="554"/>
    </row>
    <row r="82" spans="2:20" ht="18" hidden="1" thickBot="1" x14ac:dyDescent="0.35">
      <c r="B82" s="578"/>
      <c r="C82" s="575"/>
      <c r="D82" s="571"/>
      <c r="E82" s="572"/>
      <c r="F82" s="572"/>
      <c r="G82" s="576"/>
      <c r="H82" s="572"/>
      <c r="I82" s="573"/>
      <c r="J82" s="579"/>
      <c r="K82" s="554"/>
      <c r="L82" s="554"/>
      <c r="M82" s="554"/>
      <c r="N82" s="554"/>
      <c r="O82" s="554"/>
      <c r="P82" s="554"/>
      <c r="Q82" s="554"/>
      <c r="R82" s="554"/>
      <c r="S82" s="554"/>
      <c r="T82" s="554"/>
    </row>
    <row r="83" spans="2:20" ht="18" hidden="1" thickBot="1" x14ac:dyDescent="0.35">
      <c r="B83" s="578"/>
      <c r="C83" s="575"/>
      <c r="D83" s="571"/>
      <c r="E83" s="572"/>
      <c r="F83" s="572"/>
      <c r="G83" s="576"/>
      <c r="H83" s="572"/>
      <c r="I83" s="573"/>
      <c r="J83" s="579"/>
      <c r="K83" s="554"/>
      <c r="L83" s="554"/>
      <c r="M83" s="554"/>
      <c r="N83" s="554"/>
      <c r="O83" s="554"/>
      <c r="P83" s="554"/>
      <c r="Q83" s="554"/>
      <c r="R83" s="554"/>
      <c r="S83" s="554"/>
      <c r="T83" s="554"/>
    </row>
    <row r="84" spans="2:20" ht="18" hidden="1" thickBot="1" x14ac:dyDescent="0.35">
      <c r="B84" s="578"/>
      <c r="C84" s="575"/>
      <c r="D84" s="571"/>
      <c r="E84" s="572"/>
      <c r="F84" s="572"/>
      <c r="G84" s="576"/>
      <c r="H84" s="572"/>
      <c r="I84" s="573"/>
      <c r="J84" s="579"/>
      <c r="K84" s="554"/>
      <c r="L84" s="554"/>
      <c r="M84" s="554"/>
      <c r="N84" s="554"/>
      <c r="O84" s="554"/>
      <c r="P84" s="554"/>
      <c r="Q84" s="554"/>
      <c r="R84" s="554"/>
      <c r="S84" s="554"/>
      <c r="T84" s="554"/>
    </row>
    <row r="85" spans="2:20" ht="18" hidden="1" thickBot="1" x14ac:dyDescent="0.35">
      <c r="B85" s="578">
        <v>2015</v>
      </c>
      <c r="C85" s="575" t="s">
        <v>230</v>
      </c>
      <c r="D85" s="571"/>
      <c r="E85" s="572"/>
      <c r="F85" s="572"/>
      <c r="G85" s="576"/>
      <c r="H85" s="572">
        <v>658174.65</v>
      </c>
      <c r="I85" s="573"/>
      <c r="J85" s="579"/>
      <c r="K85" s="554"/>
      <c r="L85" s="554"/>
      <c r="M85" s="554"/>
      <c r="N85" s="554"/>
      <c r="O85" s="554"/>
      <c r="P85" s="554"/>
      <c r="Q85" s="554"/>
      <c r="R85" s="554"/>
      <c r="S85" s="554"/>
      <c r="T85" s="554"/>
    </row>
    <row r="86" spans="2:20" ht="18" hidden="1" thickBot="1" x14ac:dyDescent="0.35">
      <c r="B86" s="580"/>
      <c r="C86" s="581" t="s">
        <v>231</v>
      </c>
      <c r="D86" s="582"/>
      <c r="E86" s="583"/>
      <c r="F86" s="583"/>
      <c r="G86" s="584">
        <v>114232.77</v>
      </c>
      <c r="H86" s="583">
        <v>13120.02</v>
      </c>
      <c r="I86" s="627"/>
      <c r="J86" s="579"/>
      <c r="K86" s="554"/>
      <c r="L86" s="554"/>
      <c r="M86" s="554"/>
      <c r="N86" s="554"/>
      <c r="O86" s="554"/>
      <c r="P86" s="554"/>
      <c r="Q86" s="554"/>
      <c r="R86" s="554"/>
      <c r="S86" s="554"/>
      <c r="T86" s="554"/>
    </row>
    <row r="87" spans="2:20" ht="18" thickBot="1" x14ac:dyDescent="0.35">
      <c r="B87" s="570">
        <v>2015</v>
      </c>
      <c r="C87" s="575" t="s">
        <v>232</v>
      </c>
      <c r="D87" s="549"/>
      <c r="E87" s="572"/>
      <c r="F87" s="572"/>
      <c r="G87" s="576"/>
      <c r="H87" s="572"/>
      <c r="I87" s="573"/>
      <c r="J87" s="612">
        <f>SUM(J80,G86,-H85,-H86,-H87)</f>
        <v>4032621.8499999996</v>
      </c>
      <c r="K87" s="554"/>
      <c r="L87" s="554"/>
      <c r="M87" s="554"/>
      <c r="N87" s="554"/>
      <c r="O87" s="554"/>
      <c r="P87" s="554"/>
      <c r="Q87" s="554"/>
      <c r="R87" s="554"/>
      <c r="S87" s="554"/>
      <c r="T87" s="554"/>
    </row>
    <row r="88" spans="2:20" ht="18" thickBot="1" x14ac:dyDescent="0.35">
      <c r="B88" s="585">
        <v>2016</v>
      </c>
      <c r="C88" s="586">
        <v>2016</v>
      </c>
      <c r="D88" s="550"/>
      <c r="E88" s="588"/>
      <c r="F88" s="588"/>
      <c r="G88" s="626">
        <v>2186100</v>
      </c>
      <c r="H88" s="588">
        <v>1142440</v>
      </c>
      <c r="I88" s="590">
        <f t="shared" ref="I88:I93" si="7">SUM(G88,-H88)</f>
        <v>1043660</v>
      </c>
      <c r="J88" s="612"/>
      <c r="K88" s="554"/>
      <c r="L88" s="554"/>
      <c r="M88" s="554"/>
      <c r="N88" s="554"/>
      <c r="O88" s="554"/>
      <c r="P88" s="554"/>
      <c r="Q88" s="554"/>
      <c r="R88" s="554"/>
      <c r="S88" s="554"/>
      <c r="T88" s="554"/>
    </row>
    <row r="89" spans="2:20" ht="18" thickBot="1" x14ac:dyDescent="0.35">
      <c r="B89" s="585"/>
      <c r="C89" s="586" t="s">
        <v>124</v>
      </c>
      <c r="D89" s="550"/>
      <c r="E89" s="588"/>
      <c r="F89" s="588"/>
      <c r="G89" s="589"/>
      <c r="H89" s="588">
        <v>495404</v>
      </c>
      <c r="I89" s="590">
        <f t="shared" si="7"/>
        <v>-495404</v>
      </c>
      <c r="J89" s="612"/>
      <c r="K89" s="554"/>
      <c r="L89" s="554"/>
      <c r="M89" s="554"/>
      <c r="N89" s="554"/>
      <c r="O89" s="554"/>
      <c r="P89" s="554"/>
      <c r="Q89" s="554"/>
      <c r="R89" s="554"/>
      <c r="S89" s="554"/>
      <c r="T89" s="554"/>
    </row>
    <row r="90" spans="2:20" ht="18" thickBot="1" x14ac:dyDescent="0.35">
      <c r="B90" s="585"/>
      <c r="C90" s="586" t="s">
        <v>248</v>
      </c>
      <c r="D90" s="550"/>
      <c r="E90" s="588"/>
      <c r="F90" s="588"/>
      <c r="G90" s="589"/>
      <c r="H90" s="588">
        <v>894124</v>
      </c>
      <c r="I90" s="590">
        <f t="shared" si="7"/>
        <v>-894124</v>
      </c>
      <c r="J90" s="612"/>
      <c r="K90" s="554"/>
      <c r="L90" s="554"/>
      <c r="M90" s="554"/>
      <c r="N90" s="554"/>
      <c r="O90" s="554"/>
      <c r="P90" s="554"/>
      <c r="Q90" s="554"/>
      <c r="R90" s="554"/>
      <c r="S90" s="554"/>
      <c r="T90" s="554"/>
    </row>
    <row r="91" spans="2:20" ht="18" thickBot="1" x14ac:dyDescent="0.35">
      <c r="B91" s="585"/>
      <c r="C91" s="586"/>
      <c r="D91" s="550"/>
      <c r="E91" s="588"/>
      <c r="F91" s="588"/>
      <c r="G91" s="589"/>
      <c r="H91" s="588"/>
      <c r="I91" s="590">
        <f t="shared" si="7"/>
        <v>0</v>
      </c>
      <c r="J91" s="612"/>
      <c r="K91" s="554"/>
      <c r="L91" s="554"/>
      <c r="M91" s="554"/>
      <c r="N91" s="554"/>
      <c r="O91" s="554"/>
      <c r="P91" s="554"/>
      <c r="Q91" s="554"/>
      <c r="R91" s="554"/>
      <c r="S91" s="554"/>
      <c r="T91" s="554"/>
    </row>
    <row r="92" spans="2:20" ht="18" thickBot="1" x14ac:dyDescent="0.35">
      <c r="B92" s="585"/>
      <c r="C92" s="586"/>
      <c r="D92" s="550"/>
      <c r="E92" s="588"/>
      <c r="F92" s="588"/>
      <c r="G92" s="589"/>
      <c r="H92" s="588"/>
      <c r="I92" s="590">
        <f t="shared" si="7"/>
        <v>0</v>
      </c>
      <c r="J92" s="612"/>
      <c r="K92" s="554"/>
      <c r="L92" s="554"/>
      <c r="M92" s="554"/>
      <c r="N92" s="554"/>
      <c r="O92" s="554"/>
      <c r="P92" s="554"/>
      <c r="Q92" s="554"/>
      <c r="R92" s="554"/>
      <c r="S92" s="554"/>
      <c r="T92" s="554"/>
    </row>
    <row r="93" spans="2:20" ht="18" thickBot="1" x14ac:dyDescent="0.35">
      <c r="B93" s="585"/>
      <c r="C93" s="586"/>
      <c r="D93" s="587"/>
      <c r="E93" s="588"/>
      <c r="F93" s="588"/>
      <c r="G93" s="589"/>
      <c r="H93" s="588"/>
      <c r="I93" s="590">
        <f t="shared" si="7"/>
        <v>0</v>
      </c>
      <c r="J93" s="612"/>
      <c r="K93" s="554"/>
      <c r="L93" s="554"/>
      <c r="M93" s="554"/>
      <c r="N93" s="554"/>
      <c r="O93" s="554"/>
      <c r="P93" s="554"/>
      <c r="Q93" s="554"/>
      <c r="R93" s="554"/>
      <c r="S93" s="554"/>
      <c r="T93" s="554"/>
    </row>
    <row r="94" spans="2:20" ht="18" thickBot="1" x14ac:dyDescent="0.35">
      <c r="B94" s="570"/>
      <c r="C94" s="549" t="s">
        <v>210</v>
      </c>
      <c r="D94" s="571"/>
      <c r="E94" s="572"/>
      <c r="F94" s="572"/>
      <c r="G94" s="572"/>
      <c r="H94" s="572"/>
      <c r="I94" s="577">
        <f>SUM(I88:I93)</f>
        <v>-345868</v>
      </c>
      <c r="J94" s="628">
        <f>SUM(J87,I94)</f>
        <v>3686753.8499999996</v>
      </c>
      <c r="K94" s="554"/>
      <c r="L94" s="554"/>
      <c r="M94" s="554"/>
      <c r="N94" s="554"/>
      <c r="O94" s="554"/>
      <c r="P94" s="554"/>
      <c r="Q94" s="554"/>
      <c r="R94" s="554"/>
      <c r="S94" s="554"/>
      <c r="T94" s="554"/>
    </row>
    <row r="95" spans="2:20" ht="33" customHeight="1" thickBot="1" x14ac:dyDescent="0.35">
      <c r="B95" s="42" t="s">
        <v>35</v>
      </c>
      <c r="C95" s="591" t="s">
        <v>34</v>
      </c>
      <c r="D95" s="591"/>
      <c r="E95" s="592"/>
      <c r="F95" s="592"/>
      <c r="G95" s="591" t="s">
        <v>43</v>
      </c>
      <c r="H95" s="592" t="s">
        <v>42</v>
      </c>
      <c r="I95" s="593" t="s">
        <v>41</v>
      </c>
      <c r="J95" s="290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2:20" ht="61.8" customHeight="1" x14ac:dyDescent="0.3">
      <c r="B96" s="594"/>
      <c r="C96" s="595" t="s">
        <v>26</v>
      </c>
      <c r="D96" s="594"/>
      <c r="E96" s="596"/>
      <c r="F96" s="596"/>
      <c r="G96" s="594">
        <v>12288613.74</v>
      </c>
      <c r="H96" s="594">
        <v>12965154.75</v>
      </c>
      <c r="I96" s="112">
        <f>SUM(G96,-H96)</f>
        <v>-676541.00999999978</v>
      </c>
      <c r="J96" s="303"/>
      <c r="K96" s="554"/>
      <c r="L96" s="554"/>
      <c r="M96" s="554"/>
      <c r="N96" s="554"/>
      <c r="O96" s="554"/>
      <c r="P96" s="554"/>
      <c r="Q96" s="554"/>
      <c r="R96" s="554"/>
      <c r="S96" s="554"/>
      <c r="T96" s="554"/>
    </row>
    <row r="97" spans="1:20" ht="58.8" customHeight="1" x14ac:dyDescent="0.3">
      <c r="B97" s="282"/>
      <c r="C97" s="597" t="s">
        <v>117</v>
      </c>
      <c r="D97" s="282"/>
      <c r="E97" s="281"/>
      <c r="F97" s="281"/>
      <c r="G97" s="281">
        <v>6644791.3300000001</v>
      </c>
      <c r="H97" s="281">
        <v>5353356</v>
      </c>
      <c r="I97" s="598">
        <f>SUM(G97,-H97)</f>
        <v>1291435.33</v>
      </c>
      <c r="J97" s="303"/>
      <c r="K97" s="599"/>
      <c r="L97" s="302"/>
      <c r="M97" s="303"/>
      <c r="N97" s="303"/>
      <c r="O97" s="303"/>
      <c r="P97" s="303"/>
      <c r="Q97" s="303"/>
      <c r="R97" s="303"/>
      <c r="S97" s="303"/>
      <c r="T97" s="303"/>
    </row>
    <row r="98" spans="1:20" ht="61.2" customHeight="1" thickBot="1" x14ac:dyDescent="0.35">
      <c r="B98" s="600"/>
      <c r="C98" s="601" t="s">
        <v>27</v>
      </c>
      <c r="D98" s="600"/>
      <c r="E98" s="602"/>
      <c r="F98" s="602"/>
      <c r="G98" s="600">
        <v>4831894.5199999996</v>
      </c>
      <c r="H98" s="600">
        <v>3216444</v>
      </c>
      <c r="I98" s="603">
        <f>SUM(G98,-H98)</f>
        <v>1615450.5199999996</v>
      </c>
      <c r="J98" s="604"/>
      <c r="K98" s="554"/>
      <c r="L98" s="554"/>
      <c r="M98" s="554"/>
      <c r="N98" s="554"/>
      <c r="O98" s="554"/>
      <c r="P98" s="554"/>
      <c r="Q98" s="554"/>
      <c r="R98" s="554"/>
      <c r="S98" s="554"/>
      <c r="T98" s="554"/>
    </row>
    <row r="99" spans="1:20" ht="20.25" customHeight="1" thickBot="1" x14ac:dyDescent="0.35">
      <c r="B99" s="605"/>
      <c r="C99" s="591" t="s">
        <v>50</v>
      </c>
      <c r="D99" s="606"/>
      <c r="E99" s="607"/>
      <c r="F99" s="607"/>
      <c r="G99" s="606">
        <f>SUM(G96:G98)</f>
        <v>23765299.59</v>
      </c>
      <c r="H99" s="606">
        <f>SUM(H96:H98)</f>
        <v>21534954.75</v>
      </c>
      <c r="I99" s="608">
        <f>SUM(I96:I98)</f>
        <v>2230344.84</v>
      </c>
      <c r="J99" s="303"/>
      <c r="K99" s="599"/>
      <c r="L99" s="302"/>
      <c r="M99" s="303"/>
      <c r="N99" s="303"/>
      <c r="O99" s="303"/>
      <c r="P99" s="303"/>
      <c r="Q99" s="303"/>
      <c r="R99" s="303"/>
      <c r="S99" s="303"/>
      <c r="T99" s="303"/>
    </row>
    <row r="100" spans="1:20" ht="18" thickBot="1" x14ac:dyDescent="0.35">
      <c r="B100" s="51"/>
      <c r="C100" s="51"/>
      <c r="D100" s="51"/>
      <c r="E100" s="51"/>
      <c r="F100" s="51"/>
      <c r="G100" s="51"/>
      <c r="H100" s="51"/>
      <c r="I100" s="51"/>
      <c r="J100" s="599"/>
      <c r="K100" s="554"/>
      <c r="L100" s="554"/>
      <c r="M100" s="554"/>
      <c r="N100" s="554"/>
      <c r="O100" s="554"/>
      <c r="P100" s="554"/>
      <c r="Q100" s="554"/>
      <c r="R100" s="554"/>
      <c r="S100" s="554"/>
      <c r="T100" s="554"/>
    </row>
    <row r="101" spans="1:20" ht="87.6" thickBot="1" x14ac:dyDescent="0.35">
      <c r="B101" s="51"/>
      <c r="C101" s="56"/>
      <c r="D101" s="51"/>
      <c r="E101" s="51"/>
      <c r="F101" s="51"/>
      <c r="G101" s="609" t="s">
        <v>284</v>
      </c>
      <c r="H101" s="610"/>
      <c r="I101" s="611">
        <f>SUM(I96,I98)</f>
        <v>938909.50999999978</v>
      </c>
      <c r="J101" s="554"/>
      <c r="K101" s="554"/>
      <c r="L101" s="554" t="s">
        <v>212</v>
      </c>
      <c r="M101" s="554"/>
      <c r="N101" s="554"/>
      <c r="O101" s="554" t="s">
        <v>114</v>
      </c>
      <c r="P101" s="554"/>
      <c r="Q101" s="554"/>
      <c r="R101" s="554"/>
      <c r="S101" s="554"/>
      <c r="T101" s="554"/>
    </row>
    <row r="102" spans="1:20" ht="17.399999999999999" x14ac:dyDescent="0.3">
      <c r="B102" s="51"/>
      <c r="C102" s="56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 x14ac:dyDescent="0.25">
      <c r="C103" s="10"/>
    </row>
    <row r="104" spans="1:20" x14ac:dyDescent="0.25">
      <c r="C104" s="10"/>
    </row>
    <row r="105" spans="1:20" x14ac:dyDescent="0.25">
      <c r="A105">
        <v>151975.07999999999</v>
      </c>
      <c r="C105" s="10"/>
    </row>
    <row r="106" spans="1:20" x14ac:dyDescent="0.25">
      <c r="C106" s="10"/>
    </row>
    <row r="107" spans="1:20" x14ac:dyDescent="0.25">
      <c r="J107" s="10"/>
    </row>
    <row r="108" spans="1:20" x14ac:dyDescent="0.25">
      <c r="J108" s="10"/>
    </row>
  </sheetData>
  <mergeCells count="22">
    <mergeCell ref="G20:I20"/>
    <mergeCell ref="M3:N4"/>
    <mergeCell ref="O3:P4"/>
    <mergeCell ref="Q3:R4"/>
    <mergeCell ref="S3:T4"/>
    <mergeCell ref="K8:L8"/>
    <mergeCell ref="K9:L9"/>
    <mergeCell ref="K13:L13"/>
    <mergeCell ref="K16:L16"/>
    <mergeCell ref="K17:L17"/>
    <mergeCell ref="G18:I18"/>
    <mergeCell ref="G19:I19"/>
    <mergeCell ref="B75:B80"/>
    <mergeCell ref="K43:T43"/>
    <mergeCell ref="G21:I21"/>
    <mergeCell ref="G22:I22"/>
    <mergeCell ref="G23:I23"/>
    <mergeCell ref="G24:I24"/>
    <mergeCell ref="G25:I25"/>
    <mergeCell ref="G34:G35"/>
    <mergeCell ref="H34:H35"/>
    <mergeCell ref="I34:I35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24"/>
  <sheetViews>
    <sheetView topLeftCell="C1" zoomScaleNormal="100" workbookViewId="0">
      <selection activeCell="K21" sqref="K21"/>
    </sheetView>
  </sheetViews>
  <sheetFormatPr defaultRowHeight="13.2" x14ac:dyDescent="0.25"/>
  <cols>
    <col min="2" max="2" width="6.5546875" customWidth="1"/>
    <col min="3" max="3" width="17.33203125" customWidth="1"/>
    <col min="4" max="4" width="15.33203125" customWidth="1"/>
    <col min="6" max="7" width="15.33203125" customWidth="1"/>
    <col min="8" max="8" width="14.109375" customWidth="1"/>
    <col min="9" max="9" width="16.109375" customWidth="1"/>
    <col min="10" max="10" width="19.88671875" customWidth="1"/>
    <col min="11" max="11" width="14.33203125" customWidth="1"/>
  </cols>
  <sheetData>
    <row r="5" spans="2:11" ht="18" x14ac:dyDescent="0.35">
      <c r="G5" s="45" t="s">
        <v>145</v>
      </c>
    </row>
    <row r="6" spans="2:11" ht="18" x14ac:dyDescent="0.35">
      <c r="G6" s="45"/>
    </row>
    <row r="7" spans="2:11" ht="15.6" x14ac:dyDescent="0.3">
      <c r="B7" s="46"/>
      <c r="C7" s="46" t="s">
        <v>146</v>
      </c>
      <c r="D7" s="46" t="s">
        <v>147</v>
      </c>
      <c r="E7" s="46" t="s">
        <v>156</v>
      </c>
      <c r="F7" s="46" t="s">
        <v>148</v>
      </c>
      <c r="G7" s="46" t="s">
        <v>279</v>
      </c>
      <c r="H7" s="46" t="s">
        <v>149</v>
      </c>
      <c r="I7" s="46" t="s">
        <v>238</v>
      </c>
      <c r="J7" s="46" t="s">
        <v>234</v>
      </c>
      <c r="K7" s="46"/>
    </row>
    <row r="8" spans="2:11" x14ac:dyDescent="0.25">
      <c r="B8" s="2">
        <v>1</v>
      </c>
      <c r="C8" s="2" t="s">
        <v>150</v>
      </c>
      <c r="D8" s="3">
        <v>40000</v>
      </c>
      <c r="E8" s="3">
        <v>0</v>
      </c>
      <c r="F8" s="3">
        <f>SUM(D8:E8)</f>
        <v>40000</v>
      </c>
      <c r="G8" s="3">
        <f>PRODUCT(F8,1%)</f>
        <v>400</v>
      </c>
      <c r="H8" s="3">
        <f>SUM(F8:G8)</f>
        <v>40400</v>
      </c>
      <c r="I8" s="3">
        <f>PRODUCT(F8,30.2%)</f>
        <v>12080</v>
      </c>
      <c r="J8" s="3">
        <f>SUM(H8:I8)</f>
        <v>52480</v>
      </c>
      <c r="K8" s="2"/>
    </row>
    <row r="9" spans="2:11" x14ac:dyDescent="0.25">
      <c r="B9" s="2">
        <v>2</v>
      </c>
      <c r="C9" s="2" t="s">
        <v>151</v>
      </c>
      <c r="D9" s="3">
        <v>38100</v>
      </c>
      <c r="E9" s="3">
        <v>0</v>
      </c>
      <c r="F9" s="3">
        <f>SUM(D9:E9)</f>
        <v>38100</v>
      </c>
      <c r="G9" s="3">
        <f>PRODUCT(F9,1%)</f>
        <v>381</v>
      </c>
      <c r="H9" s="3">
        <f>SUM(F9:G9)</f>
        <v>38481</v>
      </c>
      <c r="I9" s="3">
        <f>PRODUCT(F9,30.2%)</f>
        <v>11506.199999999999</v>
      </c>
      <c r="J9" s="3">
        <f>SUM(H9:I9)</f>
        <v>49987.199999999997</v>
      </c>
      <c r="K9" s="2"/>
    </row>
    <row r="10" spans="2:11" x14ac:dyDescent="0.25">
      <c r="B10" s="2">
        <v>3</v>
      </c>
      <c r="C10" s="47" t="s">
        <v>152</v>
      </c>
      <c r="D10" s="3">
        <v>38100</v>
      </c>
      <c r="E10" s="3">
        <v>0</v>
      </c>
      <c r="F10" s="3">
        <f>SUM(D10:E10)</f>
        <v>38100</v>
      </c>
      <c r="G10" s="3">
        <f>PRODUCT(F10,1%)</f>
        <v>381</v>
      </c>
      <c r="H10" s="3">
        <f>SUM(F10:G10)</f>
        <v>38481</v>
      </c>
      <c r="I10" s="3">
        <f>PRODUCT(F10,30.2%)</f>
        <v>11506.199999999999</v>
      </c>
      <c r="J10" s="3">
        <f>SUM(H10:I10)</f>
        <v>49987.199999999997</v>
      </c>
      <c r="K10" s="2"/>
    </row>
    <row r="11" spans="2:11" x14ac:dyDescent="0.25">
      <c r="B11" s="2">
        <v>4</v>
      </c>
      <c r="C11" s="47" t="s">
        <v>233</v>
      </c>
      <c r="D11" s="3">
        <v>30000</v>
      </c>
      <c r="E11" s="3">
        <v>0</v>
      </c>
      <c r="F11" s="3">
        <f>SUM(D11:E11)</f>
        <v>30000</v>
      </c>
      <c r="G11" s="3">
        <f>PRODUCT(F11,1%)</f>
        <v>300</v>
      </c>
      <c r="H11" s="3">
        <f>SUM(F11:G11)</f>
        <v>30300</v>
      </c>
      <c r="I11" s="3">
        <f>PRODUCT(F11,30.2%)</f>
        <v>9060</v>
      </c>
      <c r="J11" s="3">
        <f>SUM(H11:I11)</f>
        <v>39360</v>
      </c>
      <c r="K11" s="2"/>
    </row>
    <row r="12" spans="2:11" x14ac:dyDescent="0.25">
      <c r="B12" s="2">
        <v>5</v>
      </c>
      <c r="C12" s="2" t="s">
        <v>153</v>
      </c>
      <c r="D12" s="3">
        <v>25000</v>
      </c>
      <c r="E12" s="3">
        <v>0</v>
      </c>
      <c r="F12" s="3">
        <f>SUM(D12:E12)</f>
        <v>25000</v>
      </c>
      <c r="G12" s="3">
        <f>PRODUCT(F12,1%)</f>
        <v>250</v>
      </c>
      <c r="H12" s="3">
        <f>SUM(F12:G12)</f>
        <v>25250</v>
      </c>
      <c r="I12" s="3">
        <f>PRODUCT(F12,30.2%)</f>
        <v>7550</v>
      </c>
      <c r="J12" s="3">
        <f>SUM(H12:I12)</f>
        <v>32800</v>
      </c>
      <c r="K12" s="2"/>
    </row>
    <row r="13" spans="2:11" ht="14.4" x14ac:dyDescent="0.3">
      <c r="B13" s="2"/>
      <c r="C13" s="48" t="s">
        <v>107</v>
      </c>
      <c r="D13" s="49">
        <f>SUM(D8:D12)</f>
        <v>171200</v>
      </c>
      <c r="E13" s="49"/>
      <c r="F13" s="49">
        <f>SUM(F8:F12)</f>
        <v>171200</v>
      </c>
      <c r="G13" s="49">
        <f>SUM(G8:G12)</f>
        <v>1712</v>
      </c>
      <c r="H13" s="49">
        <f>SUM(H8:H12)</f>
        <v>172912</v>
      </c>
      <c r="I13" s="49">
        <f>SUM(I8:I12)</f>
        <v>51702.399999999994</v>
      </c>
      <c r="J13" s="49">
        <f>SUM(J8:J12)</f>
        <v>224614.39999999999</v>
      </c>
      <c r="K13" s="2"/>
    </row>
    <row r="15" spans="2:11" x14ac:dyDescent="0.25">
      <c r="B15" s="2"/>
      <c r="C15" s="2" t="s">
        <v>159</v>
      </c>
      <c r="D15" s="3">
        <v>8000</v>
      </c>
      <c r="E15" s="3">
        <v>0</v>
      </c>
      <c r="F15" s="3">
        <f>SUM(D15:E15)</f>
        <v>8000</v>
      </c>
      <c r="G15" s="3">
        <f>PRODUCT(F15,1%)</f>
        <v>80</v>
      </c>
      <c r="H15" s="3">
        <f>SUM(F15:G15)</f>
        <v>8080</v>
      </c>
      <c r="I15" s="3">
        <f>PRODUCT(F15,20.2%)</f>
        <v>1615.9999999999998</v>
      </c>
      <c r="J15" s="3">
        <f>SUM(H15:I15)</f>
        <v>9696</v>
      </c>
    </row>
    <row r="18" spans="2:11" ht="18" x14ac:dyDescent="0.35">
      <c r="F18" s="45" t="s">
        <v>154</v>
      </c>
    </row>
    <row r="20" spans="2:11" ht="15.6" x14ac:dyDescent="0.3">
      <c r="B20" s="46"/>
      <c r="C20" s="46" t="s">
        <v>146</v>
      </c>
      <c r="D20" s="46" t="s">
        <v>155</v>
      </c>
      <c r="E20" s="46" t="s">
        <v>147</v>
      </c>
      <c r="F20" s="46" t="s">
        <v>156</v>
      </c>
      <c r="G20" s="46" t="s">
        <v>148</v>
      </c>
      <c r="H20" s="46" t="s">
        <v>279</v>
      </c>
      <c r="I20" s="46" t="s">
        <v>149</v>
      </c>
      <c r="J20" s="46" t="s">
        <v>238</v>
      </c>
      <c r="K20" s="46" t="s">
        <v>235</v>
      </c>
    </row>
    <row r="21" spans="2:11" x14ac:dyDescent="0.25">
      <c r="B21" s="2">
        <v>1</v>
      </c>
      <c r="C21" s="2" t="s">
        <v>157</v>
      </c>
      <c r="D21" s="3">
        <v>15</v>
      </c>
      <c r="E21" s="3">
        <v>10000</v>
      </c>
      <c r="F21" s="3">
        <v>4950</v>
      </c>
      <c r="G21" s="3">
        <f>SUM(E21:F21)</f>
        <v>14950</v>
      </c>
      <c r="H21" s="3">
        <f>PRODUCT(G21,1%)</f>
        <v>149.5</v>
      </c>
      <c r="I21" s="3">
        <f>SUM(G21:H21)</f>
        <v>15099.5</v>
      </c>
      <c r="J21" s="3">
        <f>PRODUCT(G21,30.2%)</f>
        <v>4514.8999999999996</v>
      </c>
      <c r="K21" s="3">
        <f>SUM(I21:J21)</f>
        <v>19614.400000000001</v>
      </c>
    </row>
    <row r="22" spans="2:11" x14ac:dyDescent="0.25">
      <c r="B22" s="2"/>
      <c r="C22" s="2"/>
      <c r="D22" s="3"/>
      <c r="E22" s="3"/>
      <c r="F22" s="3"/>
      <c r="G22" s="3"/>
      <c r="H22" s="3"/>
      <c r="I22" s="3"/>
      <c r="J22" s="3"/>
      <c r="K22" s="3">
        <f>PRODUCT(K21,D21)</f>
        <v>294216</v>
      </c>
    </row>
    <row r="23" spans="2:11" ht="13.8" thickBot="1" x14ac:dyDescent="0.3">
      <c r="D23" s="10"/>
      <c r="E23" s="10"/>
      <c r="F23" s="10"/>
      <c r="G23" s="10"/>
      <c r="H23" s="10"/>
      <c r="I23" s="10"/>
      <c r="J23" s="10"/>
      <c r="K23" s="10"/>
    </row>
    <row r="24" spans="2:11" ht="13.8" thickBot="1" x14ac:dyDescent="0.3">
      <c r="D24" s="10"/>
      <c r="E24" s="10"/>
      <c r="F24" s="10"/>
      <c r="G24" s="10"/>
      <c r="H24" s="682" t="s">
        <v>158</v>
      </c>
      <c r="I24" s="683"/>
      <c r="J24" s="50">
        <f>SUM(J13,J15,K22)</f>
        <v>528526.4</v>
      </c>
      <c r="K24" s="10"/>
    </row>
  </sheetData>
  <mergeCells count="1">
    <mergeCell ref="H24:I24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2"/>
  <sheetViews>
    <sheetView topLeftCell="A34" zoomScaleNormal="100" workbookViewId="0">
      <selection activeCell="I14" sqref="I14"/>
    </sheetView>
  </sheetViews>
  <sheetFormatPr defaultRowHeight="13.2" x14ac:dyDescent="0.25"/>
  <cols>
    <col min="3" max="3" width="46.21875" customWidth="1"/>
    <col min="4" max="4" width="13.21875" customWidth="1"/>
  </cols>
  <sheetData>
    <row r="2" spans="2:4" x14ac:dyDescent="0.25">
      <c r="C2" t="s">
        <v>217</v>
      </c>
    </row>
    <row r="3" spans="2:4" x14ac:dyDescent="0.25">
      <c r="C3" t="s">
        <v>218</v>
      </c>
    </row>
    <row r="5" spans="2:4" x14ac:dyDescent="0.25">
      <c r="D5" t="s">
        <v>239</v>
      </c>
    </row>
    <row r="6" spans="2:4" x14ac:dyDescent="0.25">
      <c r="B6" t="s">
        <v>249</v>
      </c>
    </row>
    <row r="8" spans="2:4" ht="39.6" x14ac:dyDescent="0.25">
      <c r="B8" s="2" t="s">
        <v>179</v>
      </c>
      <c r="C8" s="2" t="s">
        <v>283</v>
      </c>
      <c r="D8" s="7" t="s">
        <v>180</v>
      </c>
    </row>
    <row r="9" spans="2:4" x14ac:dyDescent="0.25">
      <c r="B9" s="2">
        <v>1</v>
      </c>
      <c r="C9" s="2" t="s">
        <v>181</v>
      </c>
      <c r="D9" s="2">
        <v>565000</v>
      </c>
    </row>
    <row r="10" spans="2:4" x14ac:dyDescent="0.25">
      <c r="B10" s="2">
        <v>2</v>
      </c>
      <c r="C10" s="2" t="s">
        <v>281</v>
      </c>
      <c r="D10" s="2">
        <v>69500</v>
      </c>
    </row>
    <row r="11" spans="2:4" x14ac:dyDescent="0.25">
      <c r="B11" s="2">
        <v>3</v>
      </c>
      <c r="C11" s="2" t="s">
        <v>280</v>
      </c>
      <c r="D11" s="2">
        <v>47300</v>
      </c>
    </row>
    <row r="12" spans="2:4" x14ac:dyDescent="0.25">
      <c r="B12" s="2">
        <v>4</v>
      </c>
      <c r="C12" s="2" t="s">
        <v>183</v>
      </c>
      <c r="D12" s="2">
        <v>68000</v>
      </c>
    </row>
    <row r="13" spans="2:4" x14ac:dyDescent="0.25">
      <c r="B13" s="2">
        <v>5</v>
      </c>
      <c r="C13" s="2" t="s">
        <v>184</v>
      </c>
      <c r="D13" s="2">
        <v>3600</v>
      </c>
    </row>
    <row r="14" spans="2:4" x14ac:dyDescent="0.25">
      <c r="B14" s="2">
        <v>6</v>
      </c>
      <c r="C14" s="2" t="s">
        <v>185</v>
      </c>
      <c r="D14" s="2">
        <v>5228</v>
      </c>
    </row>
    <row r="15" spans="2:4" x14ac:dyDescent="0.25">
      <c r="B15" s="2">
        <v>7</v>
      </c>
      <c r="C15" s="2" t="s">
        <v>186</v>
      </c>
      <c r="D15" s="2">
        <v>3889.28</v>
      </c>
    </row>
    <row r="16" spans="2:4" ht="26.4" x14ac:dyDescent="0.25">
      <c r="B16" s="2">
        <v>8</v>
      </c>
      <c r="C16" s="7" t="s">
        <v>187</v>
      </c>
      <c r="D16" s="2">
        <v>106000</v>
      </c>
    </row>
    <row r="17" spans="2:4" ht="26.4" x14ac:dyDescent="0.25">
      <c r="B17" s="2">
        <v>9</v>
      </c>
      <c r="C17" s="7" t="s">
        <v>188</v>
      </c>
      <c r="D17" s="2">
        <v>78000</v>
      </c>
    </row>
    <row r="18" spans="2:4" x14ac:dyDescent="0.25">
      <c r="B18" s="2">
        <v>10</v>
      </c>
      <c r="C18" s="2" t="s">
        <v>115</v>
      </c>
      <c r="D18" s="2">
        <v>4500</v>
      </c>
    </row>
    <row r="19" spans="2:4" x14ac:dyDescent="0.25">
      <c r="B19" s="2">
        <v>11</v>
      </c>
      <c r="C19" s="7" t="s">
        <v>191</v>
      </c>
      <c r="D19" s="2">
        <v>45630</v>
      </c>
    </row>
    <row r="20" spans="2:4" x14ac:dyDescent="0.25">
      <c r="B20" s="2">
        <v>12</v>
      </c>
      <c r="C20" s="2" t="s">
        <v>190</v>
      </c>
      <c r="D20" s="2">
        <v>13000</v>
      </c>
    </row>
    <row r="21" spans="2:4" ht="26.4" x14ac:dyDescent="0.25">
      <c r="B21" s="2">
        <v>12</v>
      </c>
      <c r="C21" s="7" t="s">
        <v>237</v>
      </c>
      <c r="D21" s="2">
        <v>61066</v>
      </c>
    </row>
    <row r="22" spans="2:4" x14ac:dyDescent="0.25">
      <c r="B22" s="2">
        <v>13</v>
      </c>
      <c r="C22" s="7" t="s">
        <v>193</v>
      </c>
      <c r="D22" s="2">
        <v>9840</v>
      </c>
    </row>
    <row r="23" spans="2:4" ht="26.4" x14ac:dyDescent="0.25">
      <c r="B23" s="2">
        <v>14</v>
      </c>
      <c r="C23" s="7" t="s">
        <v>194</v>
      </c>
      <c r="D23" s="2">
        <v>49834</v>
      </c>
    </row>
    <row r="24" spans="2:4" x14ac:dyDescent="0.25">
      <c r="B24" s="2">
        <v>15</v>
      </c>
      <c r="C24" s="27" t="s">
        <v>86</v>
      </c>
      <c r="D24" s="2">
        <v>19000</v>
      </c>
    </row>
    <row r="25" spans="2:4" x14ac:dyDescent="0.25">
      <c r="B25" s="2">
        <v>16</v>
      </c>
      <c r="C25" s="7" t="s">
        <v>192</v>
      </c>
      <c r="D25" s="2">
        <v>24000</v>
      </c>
    </row>
    <row r="26" spans="2:4" x14ac:dyDescent="0.25">
      <c r="B26" s="2">
        <v>17</v>
      </c>
      <c r="C26" s="7" t="s">
        <v>195</v>
      </c>
      <c r="D26" s="2">
        <v>6000</v>
      </c>
    </row>
    <row r="27" spans="2:4" x14ac:dyDescent="0.25">
      <c r="B27" s="2">
        <v>18</v>
      </c>
      <c r="C27" s="7" t="s">
        <v>196</v>
      </c>
      <c r="D27" s="2">
        <v>2000</v>
      </c>
    </row>
    <row r="28" spans="2:4" x14ac:dyDescent="0.25">
      <c r="B28" s="2">
        <v>19</v>
      </c>
      <c r="C28" s="7" t="s">
        <v>197</v>
      </c>
      <c r="D28" s="2">
        <v>5000</v>
      </c>
    </row>
    <row r="29" spans="2:4" ht="26.4" x14ac:dyDescent="0.25">
      <c r="B29" s="2">
        <v>20</v>
      </c>
      <c r="C29" s="7" t="s">
        <v>198</v>
      </c>
      <c r="D29" s="2">
        <v>4500</v>
      </c>
    </row>
    <row r="30" spans="2:4" x14ac:dyDescent="0.25">
      <c r="B30" s="2">
        <v>21</v>
      </c>
      <c r="C30" s="7" t="s">
        <v>199</v>
      </c>
      <c r="D30" s="2">
        <v>1000</v>
      </c>
    </row>
    <row r="31" spans="2:4" x14ac:dyDescent="0.25">
      <c r="B31" s="2">
        <v>22</v>
      </c>
      <c r="C31" s="7" t="s">
        <v>200</v>
      </c>
      <c r="D31" s="2">
        <v>15000</v>
      </c>
    </row>
    <row r="32" spans="2:4" x14ac:dyDescent="0.25">
      <c r="B32" s="2">
        <v>23</v>
      </c>
      <c r="C32" s="7" t="s">
        <v>124</v>
      </c>
      <c r="D32" s="2">
        <v>62000</v>
      </c>
    </row>
    <row r="33" spans="2:5" x14ac:dyDescent="0.25">
      <c r="B33" s="2">
        <v>24</v>
      </c>
      <c r="C33" s="7" t="s">
        <v>201</v>
      </c>
      <c r="D33" s="2">
        <v>107619</v>
      </c>
    </row>
    <row r="34" spans="2:5" x14ac:dyDescent="0.25">
      <c r="B34" s="2">
        <v>25</v>
      </c>
      <c r="C34" s="7" t="s">
        <v>282</v>
      </c>
      <c r="D34" s="2">
        <v>86000</v>
      </c>
    </row>
    <row r="35" spans="2:5" x14ac:dyDescent="0.25">
      <c r="B35" s="2">
        <v>26</v>
      </c>
      <c r="C35" s="7" t="s">
        <v>144</v>
      </c>
      <c r="D35" s="2">
        <v>3000</v>
      </c>
    </row>
    <row r="36" spans="2:5" x14ac:dyDescent="0.25">
      <c r="B36" s="2">
        <v>27</v>
      </c>
      <c r="C36" s="7" t="s">
        <v>203</v>
      </c>
      <c r="D36" s="2">
        <v>3000</v>
      </c>
    </row>
    <row r="37" spans="2:5" x14ac:dyDescent="0.25">
      <c r="B37" s="2">
        <v>28</v>
      </c>
      <c r="C37" s="7" t="s">
        <v>205</v>
      </c>
      <c r="D37" s="2">
        <v>4000</v>
      </c>
    </row>
    <row r="38" spans="2:5" x14ac:dyDescent="0.25">
      <c r="B38" s="2">
        <v>29</v>
      </c>
      <c r="C38" s="2" t="s">
        <v>204</v>
      </c>
      <c r="D38" s="2">
        <v>36500</v>
      </c>
    </row>
    <row r="39" spans="2:5" x14ac:dyDescent="0.25">
      <c r="B39" s="2"/>
      <c r="C39" s="2" t="s">
        <v>206</v>
      </c>
      <c r="D39" s="2">
        <f>SUM(D9:D38)</f>
        <v>1509006.28</v>
      </c>
      <c r="E39" s="10">
        <f>PRODUCT(D39/51743.2)</f>
        <v>29.163373737998427</v>
      </c>
    </row>
    <row r="42" spans="2:5" x14ac:dyDescent="0.25">
      <c r="C42" t="s">
        <v>216</v>
      </c>
      <c r="D42" t="s">
        <v>114</v>
      </c>
    </row>
  </sheetData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2"/>
  <sheetViews>
    <sheetView topLeftCell="A22" zoomScaleNormal="100" workbookViewId="0">
      <selection activeCell="H32" sqref="H32"/>
    </sheetView>
  </sheetViews>
  <sheetFormatPr defaultRowHeight="13.2" x14ac:dyDescent="0.25"/>
  <cols>
    <col min="3" max="3" width="33.6640625" customWidth="1"/>
    <col min="4" max="4" width="14" customWidth="1"/>
  </cols>
  <sheetData>
    <row r="2" spans="2:4" x14ac:dyDescent="0.25">
      <c r="C2" t="s">
        <v>217</v>
      </c>
    </row>
    <row r="3" spans="2:4" x14ac:dyDescent="0.25">
      <c r="C3" t="s">
        <v>218</v>
      </c>
    </row>
    <row r="5" spans="2:4" x14ac:dyDescent="0.25">
      <c r="D5" t="s">
        <v>239</v>
      </c>
    </row>
    <row r="6" spans="2:4" x14ac:dyDescent="0.25">
      <c r="B6" t="s">
        <v>236</v>
      </c>
    </row>
    <row r="8" spans="2:4" ht="26.4" x14ac:dyDescent="0.25">
      <c r="B8" s="2" t="s">
        <v>179</v>
      </c>
      <c r="C8" s="2" t="s">
        <v>207</v>
      </c>
      <c r="D8" s="7" t="s">
        <v>180</v>
      </c>
    </row>
    <row r="9" spans="2:4" x14ac:dyDescent="0.25">
      <c r="B9" s="2">
        <v>1</v>
      </c>
      <c r="C9" s="2" t="s">
        <v>181</v>
      </c>
      <c r="D9" s="2">
        <v>577023</v>
      </c>
    </row>
    <row r="10" spans="2:4" x14ac:dyDescent="0.25">
      <c r="B10" s="2">
        <v>2</v>
      </c>
      <c r="C10" s="2" t="s">
        <v>189</v>
      </c>
      <c r="D10" s="2">
        <v>6000</v>
      </c>
    </row>
    <row r="11" spans="2:4" x14ac:dyDescent="0.25">
      <c r="B11" s="2">
        <v>3</v>
      </c>
      <c r="C11" s="2" t="s">
        <v>182</v>
      </c>
      <c r="D11" s="2">
        <v>51070</v>
      </c>
    </row>
    <row r="12" spans="2:4" x14ac:dyDescent="0.25">
      <c r="B12" s="2">
        <v>4</v>
      </c>
      <c r="C12" s="2" t="s">
        <v>183</v>
      </c>
      <c r="D12" s="2">
        <v>65000</v>
      </c>
    </row>
    <row r="13" spans="2:4" x14ac:dyDescent="0.25">
      <c r="B13" s="2">
        <v>5</v>
      </c>
      <c r="C13" s="2" t="s">
        <v>184</v>
      </c>
      <c r="D13" s="2">
        <v>2800</v>
      </c>
    </row>
    <row r="14" spans="2:4" x14ac:dyDescent="0.25">
      <c r="B14" s="2">
        <v>6</v>
      </c>
      <c r="C14" s="2" t="s">
        <v>185</v>
      </c>
      <c r="D14" s="2">
        <v>4912</v>
      </c>
    </row>
    <row r="15" spans="2:4" x14ac:dyDescent="0.25">
      <c r="B15" s="2">
        <v>7</v>
      </c>
      <c r="C15" s="2" t="s">
        <v>186</v>
      </c>
      <c r="D15" s="2">
        <v>3890</v>
      </c>
    </row>
    <row r="16" spans="2:4" ht="26.4" x14ac:dyDescent="0.25">
      <c r="B16" s="2">
        <v>8</v>
      </c>
      <c r="C16" s="7" t="s">
        <v>187</v>
      </c>
      <c r="D16" s="2">
        <v>106000</v>
      </c>
    </row>
    <row r="17" spans="2:4" ht="39.6" x14ac:dyDescent="0.25">
      <c r="B17" s="2">
        <v>9</v>
      </c>
      <c r="C17" s="7" t="s">
        <v>188</v>
      </c>
      <c r="D17" s="2">
        <v>78000</v>
      </c>
    </row>
    <row r="18" spans="2:4" x14ac:dyDescent="0.25">
      <c r="B18" s="2">
        <v>10</v>
      </c>
      <c r="C18" s="2" t="s">
        <v>115</v>
      </c>
      <c r="D18" s="2">
        <v>3800</v>
      </c>
    </row>
    <row r="19" spans="2:4" ht="26.4" x14ac:dyDescent="0.25">
      <c r="B19" s="2">
        <v>11</v>
      </c>
      <c r="C19" s="7" t="s">
        <v>191</v>
      </c>
      <c r="D19" s="2">
        <v>45630</v>
      </c>
    </row>
    <row r="20" spans="2:4" x14ac:dyDescent="0.25">
      <c r="B20" s="2">
        <v>12</v>
      </c>
      <c r="C20" s="2" t="s">
        <v>190</v>
      </c>
      <c r="D20" s="2">
        <v>13000</v>
      </c>
    </row>
    <row r="21" spans="2:4" ht="39.6" x14ac:dyDescent="0.25">
      <c r="B21" s="2">
        <v>12</v>
      </c>
      <c r="C21" s="7" t="s">
        <v>237</v>
      </c>
      <c r="D21" s="2">
        <v>61066</v>
      </c>
    </row>
    <row r="22" spans="2:4" x14ac:dyDescent="0.25">
      <c r="B22" s="2">
        <v>13</v>
      </c>
      <c r="C22" s="7" t="s">
        <v>193</v>
      </c>
      <c r="D22" s="2">
        <v>9840</v>
      </c>
    </row>
    <row r="23" spans="2:4" ht="26.4" x14ac:dyDescent="0.25">
      <c r="B23" s="2">
        <v>14</v>
      </c>
      <c r="C23" s="7" t="s">
        <v>194</v>
      </c>
      <c r="D23" s="2">
        <v>49834</v>
      </c>
    </row>
    <row r="24" spans="2:4" x14ac:dyDescent="0.25">
      <c r="B24" s="2">
        <v>15</v>
      </c>
      <c r="C24" s="27" t="s">
        <v>86</v>
      </c>
      <c r="D24" s="2">
        <v>21180</v>
      </c>
    </row>
    <row r="25" spans="2:4" x14ac:dyDescent="0.25">
      <c r="B25" s="2">
        <v>16</v>
      </c>
      <c r="C25" s="7" t="s">
        <v>192</v>
      </c>
      <c r="D25" s="2">
        <v>22000</v>
      </c>
    </row>
    <row r="26" spans="2:4" ht="26.4" x14ac:dyDescent="0.25">
      <c r="B26" s="2">
        <v>17</v>
      </c>
      <c r="C26" s="7" t="s">
        <v>195</v>
      </c>
      <c r="D26" s="2">
        <v>5000</v>
      </c>
    </row>
    <row r="27" spans="2:4" x14ac:dyDescent="0.25">
      <c r="B27" s="2">
        <v>18</v>
      </c>
      <c r="C27" s="7" t="s">
        <v>196</v>
      </c>
      <c r="D27" s="2">
        <v>1500</v>
      </c>
    </row>
    <row r="28" spans="2:4" ht="26.4" x14ac:dyDescent="0.25">
      <c r="B28" s="2">
        <v>19</v>
      </c>
      <c r="C28" s="7" t="s">
        <v>197</v>
      </c>
      <c r="D28" s="2">
        <v>2500</v>
      </c>
    </row>
    <row r="29" spans="2:4" ht="26.4" x14ac:dyDescent="0.25">
      <c r="B29" s="2">
        <v>20</v>
      </c>
      <c r="C29" s="7" t="s">
        <v>198</v>
      </c>
      <c r="D29" s="2">
        <v>3500</v>
      </c>
    </row>
    <row r="30" spans="2:4" x14ac:dyDescent="0.25">
      <c r="B30" s="2">
        <v>21</v>
      </c>
      <c r="C30" s="7" t="s">
        <v>199</v>
      </c>
      <c r="D30" s="2">
        <v>5000</v>
      </c>
    </row>
    <row r="31" spans="2:4" x14ac:dyDescent="0.25">
      <c r="B31" s="2">
        <v>22</v>
      </c>
      <c r="C31" s="7" t="s">
        <v>200</v>
      </c>
      <c r="D31" s="2">
        <v>13000</v>
      </c>
    </row>
    <row r="32" spans="2:4" x14ac:dyDescent="0.25">
      <c r="B32" s="2">
        <v>23</v>
      </c>
      <c r="C32" s="7" t="s">
        <v>124</v>
      </c>
      <c r="D32" s="2">
        <v>62000</v>
      </c>
    </row>
    <row r="33" spans="2:5" x14ac:dyDescent="0.25">
      <c r="B33" s="2">
        <v>24</v>
      </c>
      <c r="C33" s="7" t="s">
        <v>201</v>
      </c>
      <c r="D33" s="2">
        <v>104004</v>
      </c>
    </row>
    <row r="34" spans="2:5" x14ac:dyDescent="0.25">
      <c r="B34" s="2">
        <v>25</v>
      </c>
      <c r="C34" s="7" t="s">
        <v>202</v>
      </c>
      <c r="D34" s="2">
        <v>70320</v>
      </c>
    </row>
    <row r="35" spans="2:5" x14ac:dyDescent="0.25">
      <c r="B35" s="2">
        <v>26</v>
      </c>
      <c r="C35" s="7" t="s">
        <v>144</v>
      </c>
      <c r="D35" s="2">
        <v>1500</v>
      </c>
    </row>
    <row r="36" spans="2:5" x14ac:dyDescent="0.25">
      <c r="B36" s="2">
        <v>27</v>
      </c>
      <c r="C36" s="7" t="s">
        <v>203</v>
      </c>
      <c r="D36" s="2">
        <v>3000</v>
      </c>
    </row>
    <row r="37" spans="2:5" ht="26.4" x14ac:dyDescent="0.25">
      <c r="B37" s="2">
        <v>28</v>
      </c>
      <c r="C37" s="7" t="s">
        <v>205</v>
      </c>
      <c r="D37" s="2">
        <v>5000</v>
      </c>
    </row>
    <row r="38" spans="2:5" x14ac:dyDescent="0.25">
      <c r="B38" s="2">
        <v>29</v>
      </c>
      <c r="C38" s="2" t="s">
        <v>204</v>
      </c>
      <c r="D38" s="2">
        <v>36850</v>
      </c>
    </row>
    <row r="39" spans="2:5" x14ac:dyDescent="0.25">
      <c r="B39" s="2"/>
      <c r="C39" s="2" t="s">
        <v>206</v>
      </c>
      <c r="D39" s="2">
        <f>SUM(D9:D38)</f>
        <v>1434219</v>
      </c>
      <c r="E39" s="10">
        <f>PRODUCT(D39/51743.2)</f>
        <v>27.718018986069669</v>
      </c>
    </row>
    <row r="42" spans="2:5" x14ac:dyDescent="0.25">
      <c r="C42" t="s">
        <v>216</v>
      </c>
      <c r="D42" t="s">
        <v>114</v>
      </c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 2016 2</vt:lpstr>
      <vt:lpstr>зарплата </vt:lpstr>
      <vt:lpstr>Размер тарифа на 2017 г.</vt:lpstr>
      <vt:lpstr>Размер тарифа на 2016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Buh</cp:lastModifiedBy>
  <cp:lastPrinted>2017-06-30T06:54:09Z</cp:lastPrinted>
  <dcterms:created xsi:type="dcterms:W3CDTF">2012-02-01T04:29:36Z</dcterms:created>
  <dcterms:modified xsi:type="dcterms:W3CDTF">2017-06-30T08:10:49Z</dcterms:modified>
</cp:coreProperties>
</file>